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k75\Documents\ニュートン式望遠鏡\"/>
    </mc:Choice>
  </mc:AlternateContent>
  <xr:revisionPtr revIDLastSave="0" documentId="8_{E75EBB12-6684-4800-A002-415430FE5533}" xr6:coauthVersionLast="36" xr6:coauthVersionMax="36" xr10:uidLastSave="{00000000-0000-0000-0000-000000000000}"/>
  <bookViews>
    <workbookView xWindow="0" yWindow="0" windowWidth="23040" windowHeight="8844" xr2:uid="{A60CF0EE-E7E6-4270-AD11-34A5361C263F}"/>
  </bookViews>
  <sheets>
    <sheet name="メイン画面" sheetId="1" r:id="rId1"/>
    <sheet name="ファインダー" sheetId="7" state="hidden" r:id="rId2"/>
    <sheet name="光線" sheetId="4" state="hidden" r:id="rId3"/>
    <sheet name="放物面" sheetId="2" state="hidden" r:id="rId4"/>
    <sheet name="副鏡" sheetId="5" state="hidden" r:id="rId5"/>
    <sheet name="センサ" sheetId="6" state="hidden" r:id="rId6"/>
    <sheet name="筐体" sheetId="3" state="hidden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7" l="1"/>
  <c r="C11" i="7"/>
  <c r="C10" i="7"/>
  <c r="C9" i="7"/>
  <c r="D9" i="7"/>
  <c r="D10" i="7"/>
  <c r="D8" i="7"/>
  <c r="C8" i="7"/>
  <c r="D7" i="7"/>
  <c r="C7" i="7"/>
  <c r="C7" i="3" l="1"/>
  <c r="C8" i="3" s="1"/>
  <c r="D5" i="3"/>
  <c r="D7" i="3" s="1"/>
  <c r="C4" i="3"/>
  <c r="C5" i="3" s="1"/>
  <c r="L6" i="4"/>
  <c r="K6" i="4"/>
  <c r="J6" i="4"/>
  <c r="I6" i="4"/>
  <c r="H6" i="4"/>
  <c r="G6" i="4"/>
  <c r="F6" i="4"/>
  <c r="E6" i="4"/>
  <c r="D6" i="4"/>
  <c r="C11" i="1"/>
  <c r="C3" i="7"/>
  <c r="D27" i="4" l="1"/>
  <c r="C4" i="6"/>
  <c r="C3" i="6"/>
  <c r="D18" i="4"/>
  <c r="L48" i="4"/>
  <c r="K48" i="4"/>
  <c r="J48" i="4"/>
  <c r="I48" i="4"/>
  <c r="H48" i="4"/>
  <c r="G48" i="4"/>
  <c r="F48" i="4"/>
  <c r="E48" i="4"/>
  <c r="D48" i="4"/>
  <c r="L7" i="4"/>
  <c r="L8" i="4" s="1"/>
  <c r="K7" i="4"/>
  <c r="K8" i="4" s="1"/>
  <c r="J7" i="4"/>
  <c r="J8" i="4" s="1"/>
  <c r="I7" i="4"/>
  <c r="I8" i="4" s="1"/>
  <c r="H7" i="4"/>
  <c r="H8" i="4" s="1"/>
  <c r="G7" i="4"/>
  <c r="G8" i="4" s="1"/>
  <c r="F7" i="4"/>
  <c r="F8" i="4" s="1"/>
  <c r="E7" i="4"/>
  <c r="E8" i="4" s="1"/>
  <c r="D7" i="4"/>
  <c r="D8" i="4" s="1"/>
  <c r="D2" i="4"/>
  <c r="D3" i="5"/>
  <c r="C3" i="5" s="1"/>
  <c r="E5" i="4"/>
  <c r="F5" i="4"/>
  <c r="G5" i="4"/>
  <c r="H5" i="4"/>
  <c r="I5" i="4"/>
  <c r="J5" i="4"/>
  <c r="K5" i="4"/>
  <c r="L5" i="4"/>
  <c r="D5" i="4"/>
  <c r="D3" i="3"/>
  <c r="D8" i="3" s="1"/>
  <c r="C3" i="3"/>
  <c r="C11" i="3" s="1"/>
  <c r="D10" i="3" l="1"/>
  <c r="D4" i="3"/>
  <c r="J11" i="4"/>
  <c r="J13" i="4" s="1"/>
  <c r="J14" i="4" s="1"/>
  <c r="J16" i="4" s="1"/>
  <c r="J25" i="4" s="1"/>
  <c r="D11" i="4"/>
  <c r="D13" i="4" s="1"/>
  <c r="D14" i="4" s="1"/>
  <c r="D16" i="4" s="1"/>
  <c r="D25" i="4" s="1"/>
  <c r="I11" i="4"/>
  <c r="I13" i="4" s="1"/>
  <c r="I14" i="4" s="1"/>
  <c r="I16" i="4" s="1"/>
  <c r="I25" i="4" s="1"/>
  <c r="H11" i="4"/>
  <c r="H13" i="4" s="1"/>
  <c r="H14" i="4" s="1"/>
  <c r="H16" i="4" s="1"/>
  <c r="H25" i="4" s="1"/>
  <c r="G11" i="4"/>
  <c r="G13" i="4" s="1"/>
  <c r="E11" i="4"/>
  <c r="E13" i="4" s="1"/>
  <c r="E14" i="4" s="1"/>
  <c r="E16" i="4" s="1"/>
  <c r="E25" i="4" s="1"/>
  <c r="K11" i="4"/>
  <c r="K13" i="4" s="1"/>
  <c r="F11" i="4"/>
  <c r="F13" i="4" s="1"/>
  <c r="F14" i="4" s="1"/>
  <c r="F16" i="4" s="1"/>
  <c r="F25" i="4" s="1"/>
  <c r="L11" i="4"/>
  <c r="L13" i="4" s="1"/>
  <c r="L14" i="4" s="1"/>
  <c r="L16" i="4" s="1"/>
  <c r="L25" i="4" s="1"/>
  <c r="D3" i="6"/>
  <c r="D4" i="6" s="1"/>
  <c r="I51" i="4"/>
  <c r="H51" i="4"/>
  <c r="K51" i="4"/>
  <c r="L51" i="4"/>
  <c r="E51" i="4"/>
  <c r="F51" i="4"/>
  <c r="J51" i="4"/>
  <c r="D51" i="4"/>
  <c r="G51" i="4"/>
  <c r="D4" i="5"/>
  <c r="C4" i="5" s="1"/>
  <c r="D9" i="3"/>
  <c r="D11" i="3" s="1"/>
  <c r="C4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D49" i="2" s="1"/>
  <c r="C9" i="2"/>
  <c r="K14" i="4" l="1"/>
  <c r="K16" i="4" s="1"/>
  <c r="K25" i="4" s="1"/>
  <c r="G14" i="4"/>
  <c r="G16" i="4" s="1"/>
  <c r="G25" i="4" s="1"/>
  <c r="K10" i="4"/>
  <c r="K31" i="4"/>
  <c r="H31" i="4"/>
  <c r="F31" i="4"/>
  <c r="G31" i="4"/>
  <c r="I10" i="4"/>
  <c r="I31" i="4"/>
  <c r="D10" i="4"/>
  <c r="D31" i="4"/>
  <c r="E31" i="4"/>
  <c r="L49" i="4"/>
  <c r="L31" i="4"/>
  <c r="J10" i="4"/>
  <c r="J31" i="4"/>
  <c r="D45" i="2"/>
  <c r="D37" i="2"/>
  <c r="D29" i="2"/>
  <c r="D9" i="2"/>
  <c r="D41" i="2"/>
  <c r="D33" i="2"/>
  <c r="D25" i="2"/>
  <c r="D17" i="2"/>
  <c r="D49" i="4"/>
  <c r="I49" i="4"/>
  <c r="D21" i="2"/>
  <c r="D13" i="2"/>
  <c r="D48" i="2"/>
  <c r="L10" i="4"/>
  <c r="K49" i="4"/>
  <c r="J49" i="4"/>
  <c r="G49" i="4"/>
  <c r="G10" i="4"/>
  <c r="F10" i="4"/>
  <c r="F49" i="4"/>
  <c r="H49" i="4"/>
  <c r="H10" i="4"/>
  <c r="E49" i="4"/>
  <c r="E10" i="4"/>
  <c r="D40" i="2"/>
  <c r="D32" i="2"/>
  <c r="D24" i="2"/>
  <c r="D16" i="2"/>
  <c r="D47" i="2"/>
  <c r="D39" i="2"/>
  <c r="D31" i="2"/>
  <c r="D23" i="2"/>
  <c r="D15" i="2"/>
  <c r="D46" i="2"/>
  <c r="D38" i="2"/>
  <c r="D30" i="2"/>
  <c r="D22" i="2"/>
  <c r="D14" i="2"/>
  <c r="D44" i="2"/>
  <c r="D36" i="2"/>
  <c r="D28" i="2"/>
  <c r="D20" i="2"/>
  <c r="D12" i="2"/>
  <c r="D43" i="2"/>
  <c r="D35" i="2"/>
  <c r="D27" i="2"/>
  <c r="D19" i="2"/>
  <c r="D11" i="2"/>
  <c r="D42" i="2"/>
  <c r="D34" i="2"/>
  <c r="D26" i="2"/>
  <c r="D18" i="2"/>
  <c r="D10" i="2"/>
  <c r="I20" i="4" l="1"/>
  <c r="D20" i="4"/>
  <c r="J20" i="4"/>
  <c r="J21" i="4" s="1"/>
  <c r="J29" i="4" s="1"/>
  <c r="J33" i="4" s="1"/>
  <c r="K20" i="4"/>
  <c r="L20" i="4"/>
  <c r="H20" i="4"/>
  <c r="F20" i="4"/>
  <c r="G20" i="4"/>
  <c r="E20" i="4"/>
  <c r="J50" i="4" l="1"/>
  <c r="J32" i="4"/>
  <c r="I21" i="4"/>
  <c r="I29" i="4" s="1"/>
  <c r="I33" i="4" s="1"/>
  <c r="D21" i="4"/>
  <c r="D29" i="4" s="1"/>
  <c r="D33" i="4" s="1"/>
  <c r="K21" i="4"/>
  <c r="K29" i="4" s="1"/>
  <c r="K33" i="4" s="1"/>
  <c r="L21" i="4"/>
  <c r="F21" i="4"/>
  <c r="E21" i="4"/>
  <c r="H21" i="4"/>
  <c r="G21" i="4"/>
  <c r="F32" i="4" l="1"/>
  <c r="F29" i="4"/>
  <c r="F33" i="4" s="1"/>
  <c r="L32" i="4"/>
  <c r="L29" i="4"/>
  <c r="L33" i="4" s="1"/>
  <c r="E32" i="4"/>
  <c r="E29" i="4"/>
  <c r="E33" i="4" s="1"/>
  <c r="G32" i="4"/>
  <c r="G29" i="4"/>
  <c r="G33" i="4" s="1"/>
  <c r="H32" i="4"/>
  <c r="H29" i="4"/>
  <c r="H33" i="4" s="1"/>
  <c r="K50" i="4"/>
  <c r="K32" i="4"/>
  <c r="J53" i="4"/>
  <c r="J34" i="4"/>
  <c r="D50" i="4"/>
  <c r="D32" i="4"/>
  <c r="I50" i="4"/>
  <c r="I32" i="4"/>
  <c r="L50" i="4"/>
  <c r="G50" i="4"/>
  <c r="F50" i="4"/>
  <c r="H50" i="4"/>
  <c r="E50" i="4"/>
  <c r="D53" i="4" l="1"/>
  <c r="D34" i="4"/>
  <c r="G53" i="4"/>
  <c r="G34" i="4"/>
  <c r="I53" i="4"/>
  <c r="I34" i="4"/>
  <c r="K53" i="4"/>
  <c r="K34" i="4"/>
  <c r="H53" i="4"/>
  <c r="H34" i="4"/>
  <c r="F53" i="4"/>
  <c r="F34" i="4"/>
  <c r="J47" i="4"/>
  <c r="J46" i="4"/>
  <c r="J45" i="4"/>
  <c r="J44" i="4"/>
  <c r="E53" i="4"/>
  <c r="E34" i="4"/>
  <c r="L53" i="4"/>
  <c r="L34" i="4"/>
  <c r="K47" i="4" l="1"/>
  <c r="K46" i="4"/>
  <c r="K45" i="4"/>
  <c r="K44" i="4"/>
  <c r="I47" i="4"/>
  <c r="I46" i="4"/>
  <c r="I45" i="4"/>
  <c r="I44" i="4"/>
  <c r="L47" i="4"/>
  <c r="L46" i="4"/>
  <c r="L45" i="4"/>
  <c r="L44" i="4"/>
  <c r="D47" i="4"/>
  <c r="D46" i="4"/>
  <c r="D44" i="4"/>
  <c r="D45" i="4"/>
  <c r="E47" i="4"/>
  <c r="E46" i="4"/>
  <c r="E45" i="4"/>
  <c r="E44" i="4"/>
  <c r="F47" i="4"/>
  <c r="F46" i="4"/>
  <c r="F45" i="4"/>
  <c r="F44" i="4"/>
  <c r="G47" i="4"/>
  <c r="G46" i="4"/>
  <c r="G45" i="4"/>
  <c r="G44" i="4"/>
  <c r="H47" i="4"/>
  <c r="H46" i="4"/>
  <c r="H45" i="4"/>
  <c r="H44" i="4"/>
</calcChain>
</file>

<file path=xl/sharedStrings.xml><?xml version="1.0" encoding="utf-8"?>
<sst xmlns="http://schemas.openxmlformats.org/spreadsheetml/2006/main" count="117" uniqueCount="92">
  <si>
    <t>x</t>
    <phoneticPr fontId="1"/>
  </si>
  <si>
    <t>y</t>
    <phoneticPr fontId="1"/>
  </si>
  <si>
    <t>主鏡直径</t>
    <rPh sb="0" eb="2">
      <t>シュキョウ</t>
    </rPh>
    <rPh sb="2" eb="4">
      <t>チョッケイ</t>
    </rPh>
    <phoneticPr fontId="1"/>
  </si>
  <si>
    <t>焦点距離</t>
    <rPh sb="0" eb="4">
      <t>ショウテンキョリ</t>
    </rPh>
    <phoneticPr fontId="1"/>
  </si>
  <si>
    <t>mm</t>
    <phoneticPr fontId="1"/>
  </si>
  <si>
    <t>単位</t>
    <rPh sb="0" eb="2">
      <t>タンイ</t>
    </rPh>
    <phoneticPr fontId="1"/>
  </si>
  <si>
    <t>値</t>
    <rPh sb="0" eb="1">
      <t>アタイ</t>
    </rPh>
    <phoneticPr fontId="1"/>
  </si>
  <si>
    <t>主鏡放物面</t>
    <rPh sb="0" eb="2">
      <t>シュキョウ</t>
    </rPh>
    <rPh sb="2" eb="5">
      <t>ホウブツメン</t>
    </rPh>
    <phoneticPr fontId="1"/>
  </si>
  <si>
    <t>焦点 p</t>
    <rPh sb="0" eb="2">
      <t>ショウテン</t>
    </rPh>
    <phoneticPr fontId="1"/>
  </si>
  <si>
    <t>説明</t>
    <rPh sb="0" eb="2">
      <t>セツメイ</t>
    </rPh>
    <phoneticPr fontId="1"/>
  </si>
  <si>
    <t>主鏡と副鏡の距離</t>
    <rPh sb="0" eb="2">
      <t>シュキョウ</t>
    </rPh>
    <rPh sb="3" eb="4">
      <t>フク</t>
    </rPh>
    <rPh sb="4" eb="5">
      <t>キョウ</t>
    </rPh>
    <rPh sb="6" eb="8">
      <t>キョリ</t>
    </rPh>
    <phoneticPr fontId="1"/>
  </si>
  <si>
    <t>主鏡軸とセンサの距離</t>
    <rPh sb="0" eb="2">
      <t>シュキョウ</t>
    </rPh>
    <rPh sb="2" eb="3">
      <t>ジク</t>
    </rPh>
    <rPh sb="8" eb="10">
      <t>キョリ</t>
    </rPh>
    <phoneticPr fontId="1"/>
  </si>
  <si>
    <t>副鏡の直径</t>
    <rPh sb="0" eb="2">
      <t>フクキョウ</t>
    </rPh>
    <rPh sb="3" eb="5">
      <t>チョッケイ</t>
    </rPh>
    <phoneticPr fontId="1"/>
  </si>
  <si>
    <t>望遠鏡の光学的なパラメータ</t>
    <rPh sb="0" eb="3">
      <t>ボウエンキョウ</t>
    </rPh>
    <rPh sb="4" eb="7">
      <t>コウガクテキ</t>
    </rPh>
    <phoneticPr fontId="1"/>
  </si>
  <si>
    <t>望遠鏡の筐体寸法</t>
    <rPh sb="0" eb="3">
      <t>ボウエンキョウ</t>
    </rPh>
    <rPh sb="4" eb="6">
      <t>キョウタイ</t>
    </rPh>
    <rPh sb="6" eb="8">
      <t>スンポウ</t>
    </rPh>
    <phoneticPr fontId="1"/>
  </si>
  <si>
    <t>右上</t>
    <rPh sb="0" eb="2">
      <t>ミギウエ</t>
    </rPh>
    <phoneticPr fontId="1"/>
  </si>
  <si>
    <t>左上</t>
    <rPh sb="0" eb="2">
      <t>ヒダリウエ</t>
    </rPh>
    <phoneticPr fontId="1"/>
  </si>
  <si>
    <t>左下</t>
    <rPh sb="0" eb="2">
      <t>ヒダリシタ</t>
    </rPh>
    <phoneticPr fontId="1"/>
  </si>
  <si>
    <t>右下</t>
    <rPh sb="0" eb="2">
      <t>ミギシタ</t>
    </rPh>
    <phoneticPr fontId="1"/>
  </si>
  <si>
    <t>x</t>
    <phoneticPr fontId="1"/>
  </si>
  <si>
    <t>y</t>
    <phoneticPr fontId="1"/>
  </si>
  <si>
    <t>望遠鏡の全長</t>
    <rPh sb="0" eb="3">
      <t>ボウエンキョウ</t>
    </rPh>
    <rPh sb="4" eb="6">
      <t>ゼンチョウ</t>
    </rPh>
    <phoneticPr fontId="1"/>
  </si>
  <si>
    <t>望遠鏡の円筒直径</t>
    <rPh sb="0" eb="3">
      <t>ボウエンキョウ</t>
    </rPh>
    <rPh sb="4" eb="6">
      <t>エントウ</t>
    </rPh>
    <rPh sb="6" eb="8">
      <t>チョッケイ</t>
    </rPh>
    <phoneticPr fontId="1"/>
  </si>
  <si>
    <t>　光線</t>
    <rPh sb="1" eb="3">
      <t>コウセン</t>
    </rPh>
    <phoneticPr fontId="1"/>
  </si>
  <si>
    <t>　筐体</t>
    <rPh sb="1" eb="3">
      <t>キョウタイ</t>
    </rPh>
    <phoneticPr fontId="1"/>
  </si>
  <si>
    <t>傾き</t>
    <rPh sb="0" eb="1">
      <t>カタム</t>
    </rPh>
    <phoneticPr fontId="1"/>
  </si>
  <si>
    <t>θ</t>
    <phoneticPr fontId="1"/>
  </si>
  <si>
    <t>始点</t>
    <rPh sb="0" eb="2">
      <t>シテン</t>
    </rPh>
    <phoneticPr fontId="1"/>
  </si>
  <si>
    <t>x軸となす角</t>
    <rPh sb="1" eb="2">
      <t>ジク</t>
    </rPh>
    <rPh sb="5" eb="6">
      <t>カク</t>
    </rPh>
    <phoneticPr fontId="1"/>
  </si>
  <si>
    <t>主鏡との交点</t>
    <rPh sb="0" eb="2">
      <t>シュキョウ</t>
    </rPh>
    <rPh sb="4" eb="6">
      <t>コウテン</t>
    </rPh>
    <phoneticPr fontId="1"/>
  </si>
  <si>
    <t>°</t>
    <phoneticPr fontId="1"/>
  </si>
  <si>
    <t>　副鏡</t>
    <rPh sb="1" eb="2">
      <t>フク</t>
    </rPh>
    <rPh sb="2" eb="3">
      <t>キョウ</t>
    </rPh>
    <phoneticPr fontId="1"/>
  </si>
  <si>
    <t>センサの幅</t>
    <rPh sb="4" eb="5">
      <t>ハバ</t>
    </rPh>
    <phoneticPr fontId="1"/>
  </si>
  <si>
    <t>p</t>
    <phoneticPr fontId="1"/>
  </si>
  <si>
    <t>deddedede</t>
    <phoneticPr fontId="1"/>
  </si>
  <si>
    <t>x座標</t>
    <rPh sb="1" eb="3">
      <t>ザヒョウ</t>
    </rPh>
    <phoneticPr fontId="1"/>
  </si>
  <si>
    <t>y座標</t>
    <rPh sb="1" eb="3">
      <t>ザヒョウ</t>
    </rPh>
    <phoneticPr fontId="1"/>
  </si>
  <si>
    <t>焦点</t>
    <rPh sb="0" eb="2">
      <t>ショウテン</t>
    </rPh>
    <phoneticPr fontId="1"/>
  </si>
  <si>
    <t>x_0</t>
  </si>
  <si>
    <t>x_0</t>
    <phoneticPr fontId="1"/>
  </si>
  <si>
    <t>y_0</t>
  </si>
  <si>
    <t>y_0</t>
    <phoneticPr fontId="1"/>
  </si>
  <si>
    <t>a_01</t>
    <phoneticPr fontId="1"/>
  </si>
  <si>
    <t>x_1</t>
  </si>
  <si>
    <t>x_1</t>
    <phoneticPr fontId="1"/>
  </si>
  <si>
    <t>y_1</t>
  </si>
  <si>
    <t>y_1</t>
    <phoneticPr fontId="1"/>
  </si>
  <si>
    <t>x_2</t>
  </si>
  <si>
    <t>x_3</t>
  </si>
  <si>
    <t>y_2</t>
  </si>
  <si>
    <t>y_3</t>
  </si>
  <si>
    <t>a_m</t>
    <phoneticPr fontId="1"/>
  </si>
  <si>
    <t>主鏡の法線の傾き</t>
    <rPh sb="0" eb="2">
      <t>シュキョウ</t>
    </rPh>
    <rPh sb="3" eb="5">
      <t>ホウセン</t>
    </rPh>
    <rPh sb="6" eb="7">
      <t>カタム</t>
    </rPh>
    <phoneticPr fontId="1"/>
  </si>
  <si>
    <t>主鏡の接線の傾き</t>
    <rPh sb="0" eb="2">
      <t>シュキョウ</t>
    </rPh>
    <rPh sb="3" eb="5">
      <t>セッセン</t>
    </rPh>
    <rPh sb="6" eb="7">
      <t>カタム</t>
    </rPh>
    <phoneticPr fontId="1"/>
  </si>
  <si>
    <t>a=0の例外を入れる</t>
    <rPh sb="4" eb="6">
      <t>レイガイ</t>
    </rPh>
    <rPh sb="7" eb="8">
      <t>イ</t>
    </rPh>
    <phoneticPr fontId="1"/>
  </si>
  <si>
    <t>v_m</t>
    <phoneticPr fontId="1"/>
  </si>
  <si>
    <t>反射光の傾き</t>
    <rPh sb="0" eb="3">
      <t>ハンシャコウ</t>
    </rPh>
    <rPh sb="4" eb="5">
      <t>カタム</t>
    </rPh>
    <phoneticPr fontId="1"/>
  </si>
  <si>
    <t>a_12</t>
    <phoneticPr fontId="1"/>
  </si>
  <si>
    <t>副鏡との交点</t>
    <rPh sb="0" eb="2">
      <t>フクキョウ</t>
    </rPh>
    <rPh sb="4" eb="6">
      <t>コウテン</t>
    </rPh>
    <phoneticPr fontId="1"/>
  </si>
  <si>
    <t>x_2</t>
    <phoneticPr fontId="1"/>
  </si>
  <si>
    <t>y_2</t>
    <phoneticPr fontId="1"/>
  </si>
  <si>
    <t>副鏡の中心x座標</t>
    <rPh sb="0" eb="2">
      <t>フクキョウ</t>
    </rPh>
    <rPh sb="3" eb="5">
      <t>チュウシン</t>
    </rPh>
    <rPh sb="6" eb="8">
      <t>ザヒョウ</t>
    </rPh>
    <phoneticPr fontId="1"/>
  </si>
  <si>
    <t>x_s</t>
    <phoneticPr fontId="1"/>
  </si>
  <si>
    <t>副鏡の法線の傾き</t>
    <rPh sb="0" eb="1">
      <t>フク</t>
    </rPh>
    <rPh sb="1" eb="2">
      <t>キョウ</t>
    </rPh>
    <rPh sb="3" eb="5">
      <t>ホウセン</t>
    </rPh>
    <rPh sb="6" eb="7">
      <t>カタム</t>
    </rPh>
    <phoneticPr fontId="1"/>
  </si>
  <si>
    <t>v_s</t>
    <phoneticPr fontId="1"/>
  </si>
  <si>
    <t>センサのy座標</t>
    <rPh sb="5" eb="7">
      <t>ザヒョウ</t>
    </rPh>
    <phoneticPr fontId="1"/>
  </si>
  <si>
    <t>a_23</t>
    <phoneticPr fontId="1"/>
  </si>
  <si>
    <t>センサとの交点</t>
    <rPh sb="5" eb="7">
      <t>コウテン</t>
    </rPh>
    <phoneticPr fontId="1"/>
  </si>
  <si>
    <t>x_3</t>
    <phoneticPr fontId="1"/>
  </si>
  <si>
    <t>y_3</t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</si>
  <si>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</si>
  <si>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</si>
  <si>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　センサ</t>
    <phoneticPr fontId="1"/>
  </si>
  <si>
    <t>ファインダー</t>
    <phoneticPr fontId="1"/>
  </si>
  <si>
    <t>枠</t>
    <rPh sb="0" eb="1">
      <t>ワク</t>
    </rPh>
    <phoneticPr fontId="1"/>
  </si>
  <si>
    <t>センサ半径</t>
    <rPh sb="3" eb="5">
      <t>ハンケイ</t>
    </rPh>
    <phoneticPr fontId="1"/>
  </si>
  <si>
    <t>投影位置</t>
    <rPh sb="0" eb="2">
      <t>トウエイ</t>
    </rPh>
    <rPh sb="2" eb="4">
      <t>イチ</t>
    </rPh>
    <phoneticPr fontId="1"/>
  </si>
  <si>
    <t>X</t>
    <phoneticPr fontId="1"/>
  </si>
  <si>
    <t>Y</t>
    <phoneticPr fontId="1"/>
  </si>
  <si>
    <t>F値</t>
    <rPh sb="1" eb="2">
      <t>チ</t>
    </rPh>
    <phoneticPr fontId="1"/>
  </si>
  <si>
    <t>焦点距離÷主鏡直径</t>
    <rPh sb="0" eb="4">
      <t>ショウテンキョリ</t>
    </rPh>
    <rPh sb="5" eb="7">
      <t>シュキョウ</t>
    </rPh>
    <rPh sb="7" eb="9">
      <t>チョッケイ</t>
    </rPh>
    <phoneticPr fontId="1"/>
  </si>
  <si>
    <t>-</t>
    <phoneticPr fontId="1"/>
  </si>
  <si>
    <t>flag</t>
    <phoneticPr fontId="1"/>
  </si>
  <si>
    <t>センサ到達</t>
    <rPh sb="3" eb="5">
      <t>トウタツ</t>
    </rPh>
    <phoneticPr fontId="1"/>
  </si>
  <si>
    <t>副鏡到達</t>
    <rPh sb="0" eb="2">
      <t>フクキョウ</t>
    </rPh>
    <rPh sb="2" eb="4">
      <t>トウタツ</t>
    </rPh>
    <phoneticPr fontId="1"/>
  </si>
  <si>
    <t>主鏡到達</t>
    <rPh sb="0" eb="2">
      <t>シュキョウ</t>
    </rPh>
    <rPh sb="2" eb="4">
      <t>トウタツ</t>
    </rPh>
    <phoneticPr fontId="1"/>
  </si>
  <si>
    <t>有効光路</t>
    <rPh sb="0" eb="2">
      <t>ユウコウ</t>
    </rPh>
    <rPh sb="2" eb="4">
      <t>コウロ</t>
    </rPh>
    <phoneticPr fontId="1"/>
  </si>
  <si>
    <r>
      <t xml:space="preserve">　ニュートン式望遠鏡 </t>
    </r>
    <r>
      <rPr>
        <b/>
        <sz val="20"/>
        <color theme="0"/>
        <rFont val="Meiryo UI"/>
        <family val="3"/>
        <charset val="128"/>
      </rPr>
      <t>の</t>
    </r>
    <r>
      <rPr>
        <b/>
        <sz val="26"/>
        <color theme="0"/>
        <rFont val="Meiryo UI"/>
        <family val="3"/>
        <charset val="128"/>
      </rPr>
      <t xml:space="preserve"> </t>
    </r>
    <r>
      <rPr>
        <b/>
        <sz val="26"/>
        <color theme="7"/>
        <rFont val="Meiryo UI"/>
        <family val="3"/>
        <charset val="128"/>
      </rPr>
      <t>光</t>
    </r>
    <r>
      <rPr>
        <b/>
        <sz val="26"/>
        <color theme="0"/>
        <rFont val="Meiryo UI"/>
        <family val="3"/>
        <charset val="128"/>
      </rPr>
      <t xml:space="preserve">学 </t>
    </r>
    <r>
      <rPr>
        <b/>
        <sz val="18"/>
        <color theme="0"/>
        <rFont val="Meiryo UI"/>
        <family val="3"/>
        <charset val="128"/>
      </rPr>
      <t>シミュレーション</t>
    </r>
    <rPh sb="6" eb="7">
      <t>シキ</t>
    </rPh>
    <rPh sb="7" eb="10">
      <t>ボウエンキョウ</t>
    </rPh>
    <rPh sb="13" eb="15">
      <t>コウガク</t>
    </rPh>
    <phoneticPr fontId="1"/>
  </si>
  <si>
    <t xml:space="preserve"> (参考) オリオン座の三ッ星が約3°</t>
    <rPh sb="2" eb="4">
      <t>サンコウ</t>
    </rPh>
    <rPh sb="10" eb="11">
      <t>ザ</t>
    </rPh>
    <rPh sb="12" eb="15">
      <t>ミツボシ</t>
    </rPh>
    <rPh sb="16" eb="17">
      <t>ヤク</t>
    </rPh>
    <phoneticPr fontId="1"/>
  </si>
  <si>
    <t>星からの光</t>
    <rPh sb="0" eb="1">
      <t>ホシ</t>
    </rPh>
    <rPh sb="4" eb="5">
      <t>ヒカリ</t>
    </rPh>
    <phoneticPr fontId="1"/>
  </si>
  <si>
    <t>入射角度</t>
    <rPh sb="0" eb="2">
      <t>ニュウシャ</t>
    </rPh>
    <rPh sb="2" eb="4">
      <t>カクド</t>
    </rPh>
    <phoneticPr fontId="1"/>
  </si>
  <si>
    <t>Created by Satsuki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</si>
</sst>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26"/>
      <color theme="0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26"/>
      <color theme="7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6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9" fontId="0" fillId="0" borderId="1" xfId="0" applyNumberFormat="1" applyBorder="1">
      <alignment vertical="center"/>
    </xf>
    <xf numFmtId="0" fontId="3" fillId="2" borderId="0" xfId="0" applyFont="1" applyFill="1">
      <alignment vertical="center"/>
    </xf>
    <xf numFmtId="0" fontId="0" fillId="3" borderId="0" xfId="0" applyFill="1">
      <alignment vertical="center"/>
    </xf>
    <xf numFmtId="0" fontId="4" fillId="2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6" fillId="3" borderId="1" xfId="0" applyFont="1" applyFill="1" applyBorder="1">
      <alignment vertical="center"/>
    </xf>
    <xf numFmtId="0" fontId="0" fillId="0" borderId="0" xfId="0" applyBorder="1" applyAlignment="1">
      <alignment horizontal="left" vertical="center"/>
    </xf>
    <xf numFmtId="0" fontId="10" fillId="3" borderId="1" xfId="0" applyFont="1" applyFill="1" applyBorder="1">
      <alignment vertical="center"/>
    </xf>
    <xf numFmtId="0" fontId="5" fillId="5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6" fontId="5" fillId="6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18545836427739E-2"/>
          <c:y val="0.13035330261136713"/>
          <c:w val="0.81487478428267401"/>
          <c:h val="0.76250347738790714"/>
        </c:manualLayout>
      </c:layout>
      <c:scatterChart>
        <c:scatterStyle val="lineMarker"/>
        <c:varyColors val="0"/>
        <c:ser>
          <c:idx val="1"/>
          <c:order val="0"/>
          <c:tx>
            <c:strRef>
              <c:f>筐体!$A$1</c:f>
              <c:strCache>
                <c:ptCount val="1"/>
                <c:pt idx="0">
                  <c:v>　筐体</c:v>
                </c:pt>
              </c:strCache>
            </c:strRef>
          </c:tx>
          <c:spPr>
            <a:ln w="38100" cap="rnd">
              <a:solidFill>
                <a:schemeClr val="tx1"/>
              </a:solidFill>
            </a:ln>
            <a:effectLst>
              <a:glow rad="63500">
                <a:schemeClr val="accent3">
                  <a:satMod val="175000"/>
                  <a:alpha val="40000"/>
                </a:schemeClr>
              </a:glow>
            </a:effectLst>
          </c:spPr>
          <c:marker>
            <c:symbol val="none"/>
          </c:marker>
          <c:xVal>
            <c:numRef>
              <c:f>筐体!$C$3:$C$11</c:f>
              <c:numCache>
                <c:formatCode>General</c:formatCode>
                <c:ptCount val="9"/>
                <c:pt idx="0">
                  <c:v>250</c:v>
                </c:pt>
                <c:pt idx="1">
                  <c:v>185</c:v>
                </c:pt>
                <c:pt idx="2">
                  <c:v>185</c:v>
                </c:pt>
                <c:pt idx="4">
                  <c:v>135</c:v>
                </c:pt>
                <c:pt idx="5">
                  <c:v>135</c:v>
                </c:pt>
                <c:pt idx="6">
                  <c:v>0</c:v>
                </c:pt>
                <c:pt idx="7">
                  <c:v>0</c:v>
                </c:pt>
                <c:pt idx="8">
                  <c:v>250</c:v>
                </c:pt>
              </c:numCache>
            </c:numRef>
          </c:xVal>
          <c:yVal>
            <c:numRef>
              <c:f>筐体!$D$3:$D$11</c:f>
              <c:numCache>
                <c:formatCode>General</c:formatCode>
                <c:ptCount val="9"/>
                <c:pt idx="0">
                  <c:v>75</c:v>
                </c:pt>
                <c:pt idx="1">
                  <c:v>75</c:v>
                </c:pt>
                <c:pt idx="2">
                  <c:v>110</c:v>
                </c:pt>
                <c:pt idx="4">
                  <c:v>110</c:v>
                </c:pt>
                <c:pt idx="5">
                  <c:v>75</c:v>
                </c:pt>
                <c:pt idx="6">
                  <c:v>75</c:v>
                </c:pt>
                <c:pt idx="7">
                  <c:v>-75</c:v>
                </c:pt>
                <c:pt idx="8">
                  <c:v>-75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13C-4767-A47F-129927239CA2}"/>
            </c:ext>
          </c:extLst>
        </c:ser>
        <c:ser>
          <c:idx val="3"/>
          <c:order val="1"/>
          <c:tx>
            <c:strRef>
              <c:f>光線!$D$4</c:f>
              <c:strCache>
                <c:ptCount val="1"/>
                <c:pt idx="0">
                  <c:v>1</c:v>
                </c:pt>
              </c:strCache>
              <c:extLst xmlns:c15="http://schemas.microsoft.com/office/drawing/2012/chart"/>
            </c:strRef>
          </c:tx>
          <c:spPr>
            <a:ln w="22225" cap="rnd">
              <a:solidFill>
                <a:srgbClr val="FFFF00"/>
              </a:solidFill>
            </a:ln>
            <a:effectLst/>
          </c:spPr>
          <c:marker>
            <c:symbol val="none"/>
          </c:marker>
          <c:xVal>
            <c:numRef>
              <c:f>光線!$D$44:$D$47</c:f>
              <c:numCache>
                <c:formatCode>General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  <c:extLst xmlns:c15="http://schemas.microsoft.com/office/drawing/2012/chart"/>
            </c:numRef>
          </c:xVal>
          <c:yVal>
            <c:numRef>
              <c:f>光線!$D$48:$D$51</c:f>
              <c:numCache>
                <c:formatCode>General</c:formatCode>
                <c:ptCount val="4"/>
                <c:pt idx="0">
                  <c:v>-65</c:v>
                </c:pt>
                <c:pt idx="1">
                  <c:v>-70.153917208703518</c:v>
                </c:pt>
                <c:pt idx="2">
                  <c:v>-38.934999569697638</c:v>
                </c:pt>
                <c:pt idx="3">
                  <c:v>100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A13C-4767-A47F-129927239CA2}"/>
            </c:ext>
          </c:extLst>
        </c:ser>
        <c:ser>
          <c:idx val="4"/>
          <c:order val="2"/>
          <c:tx>
            <c:strRef>
              <c:f>光線!$E$4</c:f>
              <c:strCache>
                <c:ptCount val="1"/>
                <c:pt idx="0">
                  <c:v>2</c:v>
                </c:pt>
              </c:strCache>
            </c:strRef>
          </c:tx>
          <c:spPr>
            <a:ln w="22225" cap="rnd">
              <a:solidFill>
                <a:srgbClr val="FFFF00"/>
              </a:solidFill>
            </a:ln>
            <a:effectLst/>
          </c:spPr>
          <c:marker>
            <c:symbol val="none"/>
          </c:marker>
          <c:xVal>
            <c:numRef>
              <c:f>光線!$E$44:$E$47</c:f>
              <c:numCache>
                <c:formatCode>General</c:formatCode>
                <c:ptCount val="4"/>
                <c:pt idx="0">
                  <c:v>300</c:v>
                </c:pt>
                <c:pt idx="1">
                  <c:v>2.7973793411287464</c:v>
                </c:pt>
                <c:pt idx="2">
                  <c:v>131.29285357146742</c:v>
                </c:pt>
                <c:pt idx="3">
                  <c:v>155.51051155669168</c:v>
                </c:pt>
              </c:numCache>
            </c:numRef>
          </c:xVal>
          <c:yVal>
            <c:numRef>
              <c:f>光線!$E$48:$E$51</c:f>
              <c:numCache>
                <c:formatCode>General</c:formatCode>
                <c:ptCount val="4"/>
                <c:pt idx="0">
                  <c:v>-48.75</c:v>
                </c:pt>
                <c:pt idx="1">
                  <c:v>-53.937691040439397</c:v>
                </c:pt>
                <c:pt idx="2">
                  <c:v>-28.707146428532582</c:v>
                </c:pt>
                <c:pt idx="3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13C-4767-A47F-129927239CA2}"/>
            </c:ext>
          </c:extLst>
        </c:ser>
        <c:ser>
          <c:idx val="5"/>
          <c:order val="3"/>
          <c:tx>
            <c:strRef>
              <c:f>光線!$F$4</c:f>
              <c:strCache>
                <c:ptCount val="1"/>
                <c:pt idx="0">
                  <c:v>3</c:v>
                </c:pt>
              </c:strCache>
              <c:extLst xmlns:c15="http://schemas.microsoft.com/office/drawing/2012/chart"/>
            </c:strRef>
          </c:tx>
          <c:spPr>
            <a:ln w="22225" cap="rnd">
              <a:solidFill>
                <a:srgbClr val="FFFF00"/>
              </a:solidFill>
            </a:ln>
            <a:effectLst/>
          </c:spPr>
          <c:marker>
            <c:symbol val="none"/>
          </c:marker>
          <c:xVal>
            <c:numRef>
              <c:f>光線!$F$44:$F$47</c:f>
              <c:numCache>
                <c:formatCode>General</c:formatCode>
                <c:ptCount val="4"/>
                <c:pt idx="0">
                  <c:v>300</c:v>
                </c:pt>
                <c:pt idx="1">
                  <c:v>1.3675422020310604</c:v>
                </c:pt>
                <c:pt idx="2">
                  <c:v>140.27890157071784</c:v>
                </c:pt>
                <c:pt idx="3">
                  <c:v>155.48555365659197</c:v>
                </c:pt>
              </c:numCache>
              <c:extLst xmlns:c15="http://schemas.microsoft.com/office/drawing/2012/chart"/>
            </c:numRef>
          </c:xVal>
          <c:yVal>
            <c:numRef>
              <c:f>光線!$F$48:$F$51</c:f>
              <c:numCache>
                <c:formatCode>General</c:formatCode>
                <c:ptCount val="4"/>
                <c:pt idx="0">
                  <c:v>-32.5</c:v>
                </c:pt>
                <c:pt idx="1">
                  <c:v>-37.712648940538543</c:v>
                </c:pt>
                <c:pt idx="2">
                  <c:v>-19.721098429282165</c:v>
                </c:pt>
                <c:pt idx="3">
                  <c:v>100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A13C-4767-A47F-129927239CA2}"/>
            </c:ext>
          </c:extLst>
        </c:ser>
        <c:ser>
          <c:idx val="6"/>
          <c:order val="4"/>
          <c:tx>
            <c:strRef>
              <c:f>光線!$G$4</c:f>
              <c:strCache>
                <c:ptCount val="1"/>
                <c:pt idx="0">
                  <c:v>4</c:v>
                </c:pt>
              </c:strCache>
            </c:strRef>
          </c:tx>
          <c:spPr>
            <a:ln w="22225" cap="rnd">
              <a:solidFill>
                <a:srgbClr val="FFFF00"/>
              </a:solidFill>
            </a:ln>
            <a:effectLst/>
          </c:spPr>
          <c:marker>
            <c:symbol val="none"/>
          </c:marker>
          <c:xVal>
            <c:numRef>
              <c:f>光線!$G$44:$G$47</c:f>
              <c:numCache>
                <c:formatCode>General</c:formatCode>
                <c:ptCount val="4"/>
                <c:pt idx="0">
                  <c:v>300</c:v>
                </c:pt>
                <c:pt idx="1">
                  <c:v>0.44359407748358715</c:v>
                </c:pt>
                <c:pt idx="2">
                  <c:v>148.19370175078154</c:v>
                </c:pt>
                <c:pt idx="3">
                  <c:v>155.46942608208769</c:v>
                </c:pt>
              </c:numCache>
            </c:numRef>
          </c:xVal>
          <c:yVal>
            <c:numRef>
              <c:f>光線!$G$48:$G$51</c:f>
              <c:numCache>
                <c:formatCode>General</c:formatCode>
                <c:ptCount val="4"/>
                <c:pt idx="0">
                  <c:v>-16.25</c:v>
                </c:pt>
                <c:pt idx="1">
                  <c:v>-21.478776515037598</c:v>
                </c:pt>
                <c:pt idx="2">
                  <c:v>-11.806298249218457</c:v>
                </c:pt>
                <c:pt idx="3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13C-4767-A47F-129927239CA2}"/>
            </c:ext>
          </c:extLst>
        </c:ser>
        <c:ser>
          <c:idx val="7"/>
          <c:order val="5"/>
          <c:tx>
            <c:strRef>
              <c:f>光線!$H$4</c:f>
              <c:strCache>
                <c:ptCount val="1"/>
                <c:pt idx="0">
                  <c:v>5</c:v>
                </c:pt>
              </c:strCache>
              <c:extLst xmlns:c15="http://schemas.microsoft.com/office/drawing/2012/chart"/>
            </c:strRef>
          </c:tx>
          <c:spPr>
            <a:ln w="22225" cap="rnd">
              <a:solidFill>
                <a:srgbClr val="FFFF00"/>
              </a:solidFill>
            </a:ln>
            <a:effectLst/>
          </c:spPr>
          <c:marker>
            <c:symbol val="none"/>
          </c:marker>
          <c:xVal>
            <c:numRef>
              <c:f>光線!$H$44:$H$47</c:f>
              <c:numCache>
                <c:formatCode>General</c:formatCode>
                <c:ptCount val="4"/>
                <c:pt idx="0">
                  <c:v>300</c:v>
                </c:pt>
                <c:pt idx="1">
                  <c:v>2.6361843572480198E-2</c:v>
                </c:pt>
                <c:pt idx="2">
                  <c:v>155.18069059541548</c:v>
                </c:pt>
                <c:pt idx="3">
                  <c:v>155.46214326635459</c:v>
                </c:pt>
              </c:numCache>
              <c:extLst xmlns:c15="http://schemas.microsoft.com/office/drawing/2012/chart"/>
            </c:numRef>
          </c:xVal>
          <c:yVal>
            <c:numRef>
              <c:f>光線!$H$48:$H$51</c:f>
              <c:numCache>
                <c:formatCode>General</c:formatCode>
                <c:ptCount val="4"/>
                <c:pt idx="0">
                  <c:v>0</c:v>
                </c:pt>
                <c:pt idx="1">
                  <c:v>-5.2360593307734211</c:v>
                </c:pt>
                <c:pt idx="2">
                  <c:v>-4.8193094045845157</c:v>
                </c:pt>
                <c:pt idx="3">
                  <c:v>100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A-A13C-4767-A47F-129927239CA2}"/>
            </c:ext>
          </c:extLst>
        </c:ser>
        <c:ser>
          <c:idx val="8"/>
          <c:order val="6"/>
          <c:tx>
            <c:strRef>
              <c:f>光線!$I$4</c:f>
              <c:strCache>
                <c:ptCount val="1"/>
                <c:pt idx="0">
                  <c:v>6</c:v>
                </c:pt>
              </c:strCache>
            </c:strRef>
          </c:tx>
          <c:spPr>
            <a:ln w="22225" cap="rnd">
              <a:solidFill>
                <a:srgbClr val="FFFF00"/>
              </a:solidFill>
            </a:ln>
            <a:effectLst/>
          </c:spPr>
          <c:marker>
            <c:symbol val="none"/>
          </c:marker>
          <c:xVal>
            <c:numRef>
              <c:f>光線!$I$44:$I$47</c:f>
              <c:numCache>
                <c:formatCode>General</c:formatCode>
                <c:ptCount val="4"/>
                <c:pt idx="0">
                  <c:v>300</c:v>
                </c:pt>
                <c:pt idx="1">
                  <c:v>0.11667463138996925</c:v>
                </c:pt>
                <c:pt idx="2">
                  <c:v>161.36111897739383</c:v>
                </c:pt>
                <c:pt idx="3">
                  <c:v>155.46371968192983</c:v>
                </c:pt>
              </c:numCache>
            </c:numRef>
          </c:xVal>
          <c:yVal>
            <c:numRef>
              <c:f>光線!$I$48:$I$51</c:f>
              <c:numCache>
                <c:formatCode>General</c:formatCode>
                <c:ptCount val="4"/>
                <c:pt idx="0">
                  <c:v>16.25</c:v>
                </c:pt>
                <c:pt idx="1">
                  <c:v>11.015517084802148</c:v>
                </c:pt>
                <c:pt idx="2">
                  <c:v>1.3611189773938293</c:v>
                </c:pt>
                <c:pt idx="3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13C-4767-A47F-129927239CA2}"/>
            </c:ext>
          </c:extLst>
        </c:ser>
        <c:ser>
          <c:idx val="9"/>
          <c:order val="7"/>
          <c:tx>
            <c:strRef>
              <c:f>光線!$J$4</c:f>
              <c:strCache>
                <c:ptCount val="1"/>
                <c:pt idx="0">
                  <c:v>7</c:v>
                </c:pt>
              </c:strCache>
              <c:extLst xmlns:c15="http://schemas.microsoft.com/office/drawing/2012/chart"/>
            </c:strRef>
          </c:tx>
          <c:spPr>
            <a:ln w="22225" cap="rnd">
              <a:solidFill>
                <a:srgbClr val="FFFF00"/>
              </a:solidFill>
            </a:ln>
            <a:effectLst/>
          </c:spPr>
          <c:marker>
            <c:symbol val="none"/>
          </c:marker>
          <c:xVal>
            <c:numRef>
              <c:f>光線!$J$44:$J$47</c:f>
              <c:numCache>
                <c:formatCode>General</c:formatCode>
                <c:ptCount val="4"/>
                <c:pt idx="0">
                  <c:v>300</c:v>
                </c:pt>
                <c:pt idx="1">
                  <c:v>0.71536383565508621</c:v>
                </c:pt>
                <c:pt idx="2">
                  <c:v>166.83797926665301</c:v>
                </c:pt>
                <c:pt idx="3">
                  <c:v>155.47416984086212</c:v>
                </c:pt>
              </c:numCache>
              <c:extLst xmlns:c15="http://schemas.microsoft.com/office/drawing/2012/chart"/>
            </c:numRef>
          </c:xVal>
          <c:yVal>
            <c:numRef>
              <c:f>光線!$J$48:$J$51</c:f>
              <c:numCache>
                <c:formatCode>General</c:formatCode>
                <c:ptCount val="4"/>
                <c:pt idx="0">
                  <c:v>32.5</c:v>
                </c:pt>
                <c:pt idx="1">
                  <c:v>27.275967243734723</c:v>
                </c:pt>
                <c:pt idx="2">
                  <c:v>6.8379792666530079</c:v>
                </c:pt>
                <c:pt idx="3">
                  <c:v>100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C-A13C-4767-A47F-129927239CA2}"/>
            </c:ext>
          </c:extLst>
        </c:ser>
        <c:ser>
          <c:idx val="10"/>
          <c:order val="8"/>
          <c:tx>
            <c:strRef>
              <c:f>光線!$K$4</c:f>
              <c:strCache>
                <c:ptCount val="1"/>
                <c:pt idx="0">
                  <c:v>8</c:v>
                </c:pt>
              </c:strCache>
            </c:strRef>
          </c:tx>
          <c:spPr>
            <a:ln w="22225" cap="rnd">
              <a:solidFill>
                <a:srgbClr val="FFFF00"/>
              </a:solidFill>
            </a:ln>
            <a:effectLst/>
          </c:spPr>
          <c:marker>
            <c:symbol val="none"/>
          </c:marker>
          <c:xVal>
            <c:numRef>
              <c:f>光線!$K$44:$K$47</c:f>
              <c:numCache>
                <c:formatCode>General</c:formatCode>
                <c:ptCount val="4"/>
                <c:pt idx="0">
                  <c:v>300</c:v>
                </c:pt>
                <c:pt idx="1">
                  <c:v>1.8232631233740351</c:v>
                </c:pt>
                <c:pt idx="2">
                  <c:v>171.6991518150993</c:v>
                </c:pt>
                <c:pt idx="3">
                  <c:v>155.49350829486315</c:v>
                </c:pt>
              </c:numCache>
            </c:numRef>
          </c:xVal>
          <c:yVal>
            <c:numRef>
              <c:f>光線!$K$48:$K$51</c:f>
              <c:numCache>
                <c:formatCode>General</c:formatCode>
                <c:ptCount val="4"/>
                <c:pt idx="0">
                  <c:v>48.75</c:v>
                </c:pt>
                <c:pt idx="1">
                  <c:v>43.545305697732751</c:v>
                </c:pt>
                <c:pt idx="2">
                  <c:v>11.699151815099299</c:v>
                </c:pt>
                <c:pt idx="3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13C-4767-A47F-129927239CA2}"/>
            </c:ext>
          </c:extLst>
        </c:ser>
        <c:ser>
          <c:idx val="11"/>
          <c:order val="9"/>
          <c:tx>
            <c:strRef>
              <c:f>光線!$L$4</c:f>
              <c:strCache>
                <c:ptCount val="1"/>
                <c:pt idx="0">
                  <c:v>9</c:v>
                </c:pt>
              </c:strCache>
              <c:extLst xmlns:c15="http://schemas.microsoft.com/office/drawing/2012/chart"/>
            </c:strRef>
          </c:tx>
          <c:spPr>
            <a:ln w="22225" cap="rnd">
              <a:solidFill>
                <a:srgbClr val="FFFF00"/>
              </a:solidFill>
            </a:ln>
            <a:effectLst/>
          </c:spPr>
          <c:marker>
            <c:symbol val="none"/>
          </c:marker>
          <c:xVal>
            <c:numRef>
              <c:f>光線!$L$44:$L$47</c:f>
              <c:numCache>
                <c:formatCode>General</c:formatCode>
                <c:ptCount val="4"/>
                <c:pt idx="0">
                  <c:v>300</c:v>
                </c:pt>
                <c:pt idx="1">
                  <c:v>3.4412084425454159</c:v>
                </c:pt>
                <c:pt idx="2">
                  <c:v>176.0199423295112</c:v>
                </c:pt>
                <c:pt idx="3">
                  <c:v>155.5217496354596</c:v>
                </c:pt>
              </c:numCache>
              <c:extLst xmlns:c15="http://schemas.microsoft.com/office/drawing/2012/chart"/>
            </c:numRef>
          </c:xVal>
          <c:yVal>
            <c:numRef>
              <c:f>光線!$L$48:$L$51</c:f>
              <c:numCache>
                <c:formatCode>General</c:formatCode>
                <c:ptCount val="4"/>
                <c:pt idx="0">
                  <c:v>65</c:v>
                </c:pt>
                <c:pt idx="1">
                  <c:v>59.823547038329586</c:v>
                </c:pt>
                <c:pt idx="2">
                  <c:v>16.019942329511196</c:v>
                </c:pt>
                <c:pt idx="3">
                  <c:v>100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E-A13C-4767-A47F-129927239CA2}"/>
            </c:ext>
          </c:extLst>
        </c:ser>
        <c:ser>
          <c:idx val="0"/>
          <c:order val="10"/>
          <c:tx>
            <c:strRef>
              <c:f>放物面!$A$1</c:f>
              <c:strCache>
                <c:ptCount val="1"/>
                <c:pt idx="0">
                  <c:v>主鏡放物面</c:v>
                </c:pt>
              </c:strCache>
            </c:strRef>
          </c:tx>
          <c:spPr>
            <a:ln w="38100" cap="rnd">
              <a:solidFill>
                <a:schemeClr val="bg1"/>
              </a:solidFill>
            </a:ln>
            <a:effectLst>
              <a:glow rad="63500">
                <a:schemeClr val="accent3">
                  <a:satMod val="175000"/>
                  <a:alpha val="40000"/>
                </a:schemeClr>
              </a:glow>
            </a:effectLst>
          </c:spPr>
          <c:marker>
            <c:symbol val="none"/>
          </c:marker>
          <c:xVal>
            <c:numRef>
              <c:f>放物面!$D$9:$D$49</c:f>
              <c:numCache>
                <c:formatCode>General</c:formatCode>
                <c:ptCount val="41"/>
                <c:pt idx="0">
                  <c:v>4.0625</c:v>
                </c:pt>
                <c:pt idx="1">
                  <c:v>3.6664062500000001</c:v>
                </c:pt>
                <c:pt idx="2">
                  <c:v>3.2906249999999999</c:v>
                </c:pt>
                <c:pt idx="3">
                  <c:v>2.9351562499999999</c:v>
                </c:pt>
                <c:pt idx="4">
                  <c:v>2.6</c:v>
                </c:pt>
                <c:pt idx="5">
                  <c:v>2.28515625</c:v>
                </c:pt>
                <c:pt idx="6">
                  <c:v>1.9906250000000001</c:v>
                </c:pt>
                <c:pt idx="7">
                  <c:v>1.7164062499999999</c:v>
                </c:pt>
                <c:pt idx="8">
                  <c:v>1.4624999999999999</c:v>
                </c:pt>
                <c:pt idx="9">
                  <c:v>1.2289062500000001</c:v>
                </c:pt>
                <c:pt idx="10">
                  <c:v>1.015625</c:v>
                </c:pt>
                <c:pt idx="11">
                  <c:v>0.82265624999999998</c:v>
                </c:pt>
                <c:pt idx="12">
                  <c:v>0.6499999999999968</c:v>
                </c:pt>
                <c:pt idx="13">
                  <c:v>0.49765624999999702</c:v>
                </c:pt>
                <c:pt idx="14">
                  <c:v>0.36562499999999759</c:v>
                </c:pt>
                <c:pt idx="15">
                  <c:v>0.253906249999998</c:v>
                </c:pt>
                <c:pt idx="16">
                  <c:v>0.16249999999999842</c:v>
                </c:pt>
                <c:pt idx="17">
                  <c:v>9.1406249999998773E-2</c:v>
                </c:pt>
                <c:pt idx="18">
                  <c:v>4.062499999999919E-2</c:v>
                </c:pt>
                <c:pt idx="19">
                  <c:v>1.0156249999999591E-2</c:v>
                </c:pt>
                <c:pt idx="20">
                  <c:v>0</c:v>
                </c:pt>
                <c:pt idx="21">
                  <c:v>1.015625E-2</c:v>
                </c:pt>
                <c:pt idx="22">
                  <c:v>4.0625000000000001E-2</c:v>
                </c:pt>
                <c:pt idx="23">
                  <c:v>9.1406249999999994E-2</c:v>
                </c:pt>
                <c:pt idx="24">
                  <c:v>0.16250000000000001</c:v>
                </c:pt>
                <c:pt idx="25">
                  <c:v>0.25390625</c:v>
                </c:pt>
                <c:pt idx="26">
                  <c:v>0.36562499999999998</c:v>
                </c:pt>
                <c:pt idx="27">
                  <c:v>0.49765625000000002</c:v>
                </c:pt>
                <c:pt idx="28">
                  <c:v>0.65</c:v>
                </c:pt>
                <c:pt idx="29">
                  <c:v>0.82265624999999998</c:v>
                </c:pt>
                <c:pt idx="30">
                  <c:v>1.015625</c:v>
                </c:pt>
                <c:pt idx="31">
                  <c:v>1.2289062500000001</c:v>
                </c:pt>
                <c:pt idx="32">
                  <c:v>1.4624999999999999</c:v>
                </c:pt>
                <c:pt idx="33">
                  <c:v>1.7164062499999999</c:v>
                </c:pt>
                <c:pt idx="34">
                  <c:v>1.9906250000000001</c:v>
                </c:pt>
                <c:pt idx="35">
                  <c:v>2.28515625</c:v>
                </c:pt>
                <c:pt idx="36">
                  <c:v>2.6</c:v>
                </c:pt>
                <c:pt idx="37">
                  <c:v>2.9351562499999999</c:v>
                </c:pt>
                <c:pt idx="38">
                  <c:v>3.2906249999999999</c:v>
                </c:pt>
                <c:pt idx="39">
                  <c:v>3.6664062500000001</c:v>
                </c:pt>
                <c:pt idx="40">
                  <c:v>4.0625</c:v>
                </c:pt>
              </c:numCache>
            </c:numRef>
          </c:xVal>
          <c:yVal>
            <c:numRef>
              <c:f>放物面!$C$9:$C$49</c:f>
              <c:numCache>
                <c:formatCode>General</c:formatCode>
                <c:ptCount val="41"/>
                <c:pt idx="0">
                  <c:v>-65</c:v>
                </c:pt>
                <c:pt idx="1">
                  <c:v>-61.75</c:v>
                </c:pt>
                <c:pt idx="2">
                  <c:v>-58.5</c:v>
                </c:pt>
                <c:pt idx="3">
                  <c:v>-55.25</c:v>
                </c:pt>
                <c:pt idx="4">
                  <c:v>-52</c:v>
                </c:pt>
                <c:pt idx="5">
                  <c:v>-48.75</c:v>
                </c:pt>
                <c:pt idx="6">
                  <c:v>-45.5</c:v>
                </c:pt>
                <c:pt idx="7">
                  <c:v>-42.25</c:v>
                </c:pt>
                <c:pt idx="8">
                  <c:v>-39</c:v>
                </c:pt>
                <c:pt idx="9">
                  <c:v>-35.75</c:v>
                </c:pt>
                <c:pt idx="10">
                  <c:v>-32.5</c:v>
                </c:pt>
                <c:pt idx="11">
                  <c:v>-29.25</c:v>
                </c:pt>
                <c:pt idx="12">
                  <c:v>-25.999999999999936</c:v>
                </c:pt>
                <c:pt idx="13">
                  <c:v>-22.749999999999932</c:v>
                </c:pt>
                <c:pt idx="14">
                  <c:v>-19.499999999999936</c:v>
                </c:pt>
                <c:pt idx="15">
                  <c:v>-16.249999999999936</c:v>
                </c:pt>
                <c:pt idx="16">
                  <c:v>-12.999999999999936</c:v>
                </c:pt>
                <c:pt idx="17">
                  <c:v>-9.7499999999999343</c:v>
                </c:pt>
                <c:pt idx="18">
                  <c:v>-6.4999999999999352</c:v>
                </c:pt>
                <c:pt idx="19">
                  <c:v>-3.2499999999999347</c:v>
                </c:pt>
                <c:pt idx="20">
                  <c:v>0</c:v>
                </c:pt>
                <c:pt idx="21">
                  <c:v>3.25</c:v>
                </c:pt>
                <c:pt idx="22">
                  <c:v>6.5</c:v>
                </c:pt>
                <c:pt idx="23">
                  <c:v>9.75</c:v>
                </c:pt>
                <c:pt idx="24">
                  <c:v>13</c:v>
                </c:pt>
                <c:pt idx="25">
                  <c:v>16.25</c:v>
                </c:pt>
                <c:pt idx="26">
                  <c:v>19.5</c:v>
                </c:pt>
                <c:pt idx="27">
                  <c:v>22.75</c:v>
                </c:pt>
                <c:pt idx="28">
                  <c:v>26</c:v>
                </c:pt>
                <c:pt idx="29">
                  <c:v>29.25</c:v>
                </c:pt>
                <c:pt idx="30">
                  <c:v>32.5</c:v>
                </c:pt>
                <c:pt idx="31">
                  <c:v>35.75</c:v>
                </c:pt>
                <c:pt idx="32">
                  <c:v>39</c:v>
                </c:pt>
                <c:pt idx="33">
                  <c:v>42.25</c:v>
                </c:pt>
                <c:pt idx="34">
                  <c:v>45.5</c:v>
                </c:pt>
                <c:pt idx="35">
                  <c:v>48.75</c:v>
                </c:pt>
                <c:pt idx="36">
                  <c:v>52</c:v>
                </c:pt>
                <c:pt idx="37">
                  <c:v>55.25</c:v>
                </c:pt>
                <c:pt idx="38">
                  <c:v>58.5</c:v>
                </c:pt>
                <c:pt idx="39">
                  <c:v>61.75</c:v>
                </c:pt>
                <c:pt idx="40">
                  <c:v>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3C-4767-A47F-129927239CA2}"/>
            </c:ext>
          </c:extLst>
        </c:ser>
        <c:ser>
          <c:idx val="2"/>
          <c:order val="11"/>
          <c:tx>
            <c:strRef>
              <c:f>副鏡!$A$1</c:f>
              <c:strCache>
                <c:ptCount val="1"/>
                <c:pt idx="0">
                  <c:v>　副鏡</c:v>
                </c:pt>
              </c:strCache>
            </c:strRef>
          </c:tx>
          <c:spPr>
            <a:ln w="22225" cap="rnd">
              <a:solidFill>
                <a:schemeClr val="bg1"/>
              </a:solidFill>
            </a:ln>
            <a:effectLst>
              <a:glow rad="63500">
                <a:schemeClr val="accent3">
                  <a:satMod val="175000"/>
                  <a:alpha val="40000"/>
                </a:schemeClr>
              </a:glow>
            </a:effectLst>
          </c:spPr>
          <c:marker>
            <c:symbol val="none"/>
          </c:marker>
          <c:xVal>
            <c:numRef>
              <c:f>副鏡!$C$3:$C$4</c:f>
              <c:numCache>
                <c:formatCode>General</c:formatCode>
                <c:ptCount val="2"/>
                <c:pt idx="0">
                  <c:v>190</c:v>
                </c:pt>
                <c:pt idx="1">
                  <c:v>130</c:v>
                </c:pt>
              </c:numCache>
            </c:numRef>
          </c:xVal>
          <c:yVal>
            <c:numRef>
              <c:f>副鏡!$D$3:$D$4</c:f>
              <c:numCache>
                <c:formatCode>General</c:formatCode>
                <c:ptCount val="2"/>
                <c:pt idx="0">
                  <c:v>30</c:v>
                </c:pt>
                <c:pt idx="1">
                  <c:v>-30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13C-4767-A47F-129927239CA2}"/>
            </c:ext>
          </c:extLst>
        </c:ser>
        <c:ser>
          <c:idx val="12"/>
          <c:order val="12"/>
          <c:tx>
            <c:strRef>
              <c:f>センサ!$A$1</c:f>
              <c:strCache>
                <c:ptCount val="1"/>
                <c:pt idx="0">
                  <c:v>　センサ</c:v>
                </c:pt>
              </c:strCache>
            </c:strRef>
          </c:tx>
          <c:spPr>
            <a:ln w="22225" cap="rnd">
              <a:solidFill>
                <a:schemeClr val="bg1"/>
              </a:solidFill>
            </a:ln>
            <a:effectLst>
              <a:glow rad="63500">
                <a:schemeClr val="accent3">
                  <a:satMod val="175000"/>
                  <a:alpha val="40000"/>
                </a:schemeClr>
              </a:glow>
            </a:effectLst>
          </c:spPr>
          <c:marker>
            <c:symbol val="none"/>
          </c:marker>
          <c:xVal>
            <c:numRef>
              <c:f>センサ!$C$3:$C$4</c:f>
              <c:numCache>
                <c:formatCode>General</c:formatCode>
                <c:ptCount val="2"/>
                <c:pt idx="0">
                  <c:v>145</c:v>
                </c:pt>
                <c:pt idx="1">
                  <c:v>175</c:v>
                </c:pt>
              </c:numCache>
            </c:numRef>
          </c:xVal>
          <c:yVal>
            <c:numRef>
              <c:f>センサ!$D$3:$D$4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13C-4767-A47F-129927239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916464"/>
        <c:axId val="407350992"/>
        <c:extLst/>
      </c:scatterChart>
      <c:valAx>
        <c:axId val="402916464"/>
        <c:scaling>
          <c:orientation val="minMax"/>
          <c:max val="400"/>
          <c:min val="-30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8100" cap="flat" cmpd="sng" algn="ctr">
            <a:solidFill>
              <a:schemeClr val="tx1"/>
            </a:solidFill>
            <a:prstDash val="lgDashDot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7350992"/>
        <c:crosses val="autoZero"/>
        <c:crossBetween val="midCat"/>
        <c:majorUnit val="30"/>
      </c:valAx>
      <c:valAx>
        <c:axId val="407350992"/>
        <c:scaling>
          <c:orientation val="minMax"/>
          <c:max val="100"/>
          <c:min val="-100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2916464"/>
        <c:crosses val="autoZero"/>
        <c:crossBetween val="midCat"/>
        <c:majorUnit val="3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センササイズ</c:v>
          </c:tx>
          <c:spPr>
            <a:ln w="22225" cap="rnd">
              <a:solidFill>
                <a:schemeClr val="bg1">
                  <a:lumMod val="75000"/>
                </a:schemeClr>
              </a:solidFill>
              <a:prstDash val="dash"/>
            </a:ln>
            <a:effectLst>
              <a:glow rad="63500">
                <a:schemeClr val="accent3">
                  <a:satMod val="175000"/>
                  <a:alpha val="40000"/>
                </a:schemeClr>
              </a:glow>
            </a:effectLst>
          </c:spPr>
          <c:marker>
            <c:symbol val="none"/>
          </c:marker>
          <c:xVal>
            <c:numRef>
              <c:f>ファインダー!$C$7:$C$11</c:f>
              <c:numCache>
                <c:formatCode>General</c:formatCode>
                <c:ptCount val="5"/>
                <c:pt idx="0">
                  <c:v>-15</c:v>
                </c:pt>
                <c:pt idx="1">
                  <c:v>-15</c:v>
                </c:pt>
                <c:pt idx="2">
                  <c:v>15</c:v>
                </c:pt>
                <c:pt idx="3">
                  <c:v>15</c:v>
                </c:pt>
                <c:pt idx="4">
                  <c:v>-15</c:v>
                </c:pt>
              </c:numCache>
            </c:numRef>
          </c:xVal>
          <c:yVal>
            <c:numRef>
              <c:f>ファインダー!$D$7:$D$11</c:f>
              <c:numCache>
                <c:formatCode>General</c:formatCode>
                <c:ptCount val="5"/>
                <c:pt idx="0">
                  <c:v>-15</c:v>
                </c:pt>
                <c:pt idx="1">
                  <c:v>15</c:v>
                </c:pt>
                <c:pt idx="2">
                  <c:v>15</c:v>
                </c:pt>
                <c:pt idx="3">
                  <c:v>-15</c:v>
                </c:pt>
                <c:pt idx="4">
                  <c:v>-15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344-4AA4-8D04-E2433801DB72}"/>
            </c:ext>
          </c:extLst>
        </c:ser>
        <c:ser>
          <c:idx val="1"/>
          <c:order val="1"/>
          <c:tx>
            <c:strRef>
              <c:f>光線!$D$4</c:f>
              <c:strCache>
                <c:ptCount val="1"/>
                <c:pt idx="0">
                  <c:v>1</c:v>
                </c:pt>
              </c:strCache>
            </c:strRef>
          </c:tx>
          <c:spPr>
            <a:ln w="25400" cap="rnd">
              <a:noFill/>
            </a:ln>
            <a:effectLst>
              <a:glow rad="63500">
                <a:schemeClr val="accent4">
                  <a:satMod val="175000"/>
                  <a:alpha val="40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4"/>
              </a:solidFill>
              <a:ln>
                <a:noFill/>
              </a:ln>
              <a:effectLst>
                <a:glow rad="63500">
                  <a:schemeClr val="accent4">
                    <a:satMod val="175000"/>
                    <a:alpha val="40000"/>
                  </a:schemeClr>
                </a:glow>
              </a:effectLst>
            </c:spPr>
          </c:marker>
          <c:xVal>
            <c:numRef>
              <c:f>光線!$D$53</c:f>
              <c:numCache>
                <c:formatCode>General</c:formatCode>
                <c:ptCount val="1"/>
                <c:pt idx="0">
                  <c:v>-4.4557146115773492</c:v>
                </c:pt>
              </c:numCache>
            </c:numRef>
          </c:xVal>
          <c:yVal>
            <c:numRef>
              <c:f>光線!$D$54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44-4AA4-8D04-E2433801DB72}"/>
            </c:ext>
          </c:extLst>
        </c:ser>
        <c:ser>
          <c:idx val="2"/>
          <c:order val="2"/>
          <c:tx>
            <c:strRef>
              <c:f>光線!$E$4</c:f>
              <c:strCache>
                <c:ptCount val="1"/>
                <c:pt idx="0">
                  <c:v>2</c:v>
                </c:pt>
              </c:strCache>
              <c:extLst xmlns:c15="http://schemas.microsoft.com/office/drawing/2012/chart"/>
            </c:strRef>
          </c:tx>
          <c:spPr>
            <a:ln w="25400" cap="rnd">
              <a:noFill/>
            </a:ln>
            <a:effectLst>
              <a:glow rad="63500">
                <a:schemeClr val="accent4">
                  <a:satMod val="175000"/>
                  <a:alpha val="40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4"/>
              </a:solidFill>
              <a:ln>
                <a:noFill/>
              </a:ln>
              <a:effectLst>
                <a:glow rad="63500">
                  <a:schemeClr val="accent4">
                    <a:satMod val="175000"/>
                    <a:alpha val="40000"/>
                  </a:schemeClr>
                </a:glow>
              </a:effectLst>
            </c:spPr>
          </c:marker>
          <c:xVal>
            <c:numRef>
              <c:f>光線!$E$53</c:f>
              <c:numCache>
                <c:formatCode>General</c:formatCode>
                <c:ptCount val="1"/>
                <c:pt idx="0">
                  <c:v>-4.4894884433083178</c:v>
                </c:pt>
              </c:numCache>
              <c:extLst xmlns:c15="http://schemas.microsoft.com/office/drawing/2012/chart"/>
            </c:numRef>
          </c:xVal>
          <c:yVal>
            <c:numRef>
              <c:f>光線!$E$54</c:f>
              <c:numCache>
                <c:formatCode>General</c:formatCode>
                <c:ptCount val="1"/>
                <c:pt idx="0">
                  <c:v>0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4344-4AA4-8D04-E2433801DB72}"/>
            </c:ext>
          </c:extLst>
        </c:ser>
        <c:ser>
          <c:idx val="3"/>
          <c:order val="3"/>
          <c:tx>
            <c:strRef>
              <c:f>光線!$F$4</c:f>
              <c:strCache>
                <c:ptCount val="1"/>
                <c:pt idx="0">
                  <c:v>3</c:v>
                </c:pt>
              </c:strCache>
            </c:strRef>
          </c:tx>
          <c:spPr>
            <a:ln w="25400" cap="rnd">
              <a:noFill/>
            </a:ln>
            <a:effectLst>
              <a:glow rad="63500">
                <a:schemeClr val="accent4">
                  <a:satMod val="175000"/>
                  <a:alpha val="40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4"/>
              </a:solidFill>
              <a:ln>
                <a:noFill/>
              </a:ln>
              <a:effectLst>
                <a:glow rad="63500">
                  <a:schemeClr val="accent4">
                    <a:satMod val="175000"/>
                    <a:alpha val="40000"/>
                  </a:schemeClr>
                </a:glow>
              </a:effectLst>
            </c:spPr>
          </c:marker>
          <c:xVal>
            <c:numRef>
              <c:f>光線!$F$53</c:f>
              <c:numCache>
                <c:formatCode>General</c:formatCode>
                <c:ptCount val="1"/>
                <c:pt idx="0">
                  <c:v>-4.5144463434080251</c:v>
                </c:pt>
              </c:numCache>
            </c:numRef>
          </c:xVal>
          <c:yVal>
            <c:numRef>
              <c:f>光線!$F$54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344-4AA4-8D04-E2433801DB72}"/>
            </c:ext>
          </c:extLst>
        </c:ser>
        <c:ser>
          <c:idx val="4"/>
          <c:order val="4"/>
          <c:tx>
            <c:strRef>
              <c:f>光線!$G$4</c:f>
              <c:strCache>
                <c:ptCount val="1"/>
                <c:pt idx="0">
                  <c:v>4</c:v>
                </c:pt>
              </c:strCache>
              <c:extLst xmlns:c15="http://schemas.microsoft.com/office/drawing/2012/chart"/>
            </c:strRef>
          </c:tx>
          <c:spPr>
            <a:ln w="25400" cap="rnd">
              <a:noFill/>
            </a:ln>
            <a:effectLst>
              <a:glow rad="63500">
                <a:schemeClr val="accent4">
                  <a:satMod val="175000"/>
                  <a:alpha val="40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4"/>
              </a:solidFill>
              <a:ln>
                <a:noFill/>
              </a:ln>
              <a:effectLst>
                <a:glow rad="63500">
                  <a:schemeClr val="accent4">
                    <a:satMod val="175000"/>
                    <a:alpha val="40000"/>
                  </a:schemeClr>
                </a:glow>
              </a:effectLst>
            </c:spPr>
          </c:marker>
          <c:xVal>
            <c:numRef>
              <c:f>光線!$G$53</c:f>
              <c:numCache>
                <c:formatCode>General</c:formatCode>
                <c:ptCount val="1"/>
                <c:pt idx="0">
                  <c:v>-4.5305739179123066</c:v>
                </c:pt>
              </c:numCache>
              <c:extLst xmlns:c15="http://schemas.microsoft.com/office/drawing/2012/chart"/>
            </c:numRef>
          </c:xVal>
          <c:yVal>
            <c:numRef>
              <c:f>光線!$G$54</c:f>
              <c:numCache>
                <c:formatCode>General</c:formatCode>
                <c:ptCount val="1"/>
                <c:pt idx="0">
                  <c:v>0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4344-4AA4-8D04-E2433801DB72}"/>
            </c:ext>
          </c:extLst>
        </c:ser>
        <c:ser>
          <c:idx val="5"/>
          <c:order val="5"/>
          <c:tx>
            <c:strRef>
              <c:f>光線!$H$4</c:f>
              <c:strCache>
                <c:ptCount val="1"/>
                <c:pt idx="0">
                  <c:v>5</c:v>
                </c:pt>
              </c:strCache>
            </c:strRef>
          </c:tx>
          <c:spPr>
            <a:ln w="25400" cap="rnd">
              <a:noFill/>
            </a:ln>
            <a:effectLst>
              <a:glow rad="63500">
                <a:schemeClr val="accent4">
                  <a:satMod val="175000"/>
                  <a:alpha val="40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4"/>
              </a:solidFill>
              <a:ln>
                <a:noFill/>
              </a:ln>
              <a:effectLst>
                <a:glow rad="63500">
                  <a:schemeClr val="accent4">
                    <a:satMod val="175000"/>
                    <a:alpha val="40000"/>
                  </a:schemeClr>
                </a:glow>
              </a:effectLst>
            </c:spPr>
          </c:marker>
          <c:xVal>
            <c:numRef>
              <c:f>光線!$H$53</c:f>
              <c:numCache>
                <c:formatCode>General</c:formatCode>
                <c:ptCount val="1"/>
                <c:pt idx="0">
                  <c:v>-4.5378567336454125</c:v>
                </c:pt>
              </c:numCache>
            </c:numRef>
          </c:xVal>
          <c:yVal>
            <c:numRef>
              <c:f>光線!$H$54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344-4AA4-8D04-E2433801DB72}"/>
            </c:ext>
          </c:extLst>
        </c:ser>
        <c:ser>
          <c:idx val="6"/>
          <c:order val="6"/>
          <c:tx>
            <c:strRef>
              <c:f>光線!$I$4</c:f>
              <c:strCache>
                <c:ptCount val="1"/>
                <c:pt idx="0">
                  <c:v>6</c:v>
                </c:pt>
              </c:strCache>
              <c:extLst xmlns:c15="http://schemas.microsoft.com/office/drawing/2012/chart"/>
            </c:strRef>
          </c:tx>
          <c:spPr>
            <a:ln w="25400" cap="rnd">
              <a:noFill/>
            </a:ln>
            <a:effectLst>
              <a:glow rad="63500">
                <a:schemeClr val="accent4">
                  <a:satMod val="175000"/>
                  <a:alpha val="40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4"/>
              </a:solidFill>
              <a:ln>
                <a:noFill/>
              </a:ln>
              <a:effectLst>
                <a:glow rad="63500">
                  <a:schemeClr val="accent4">
                    <a:satMod val="175000"/>
                    <a:alpha val="40000"/>
                  </a:schemeClr>
                </a:glow>
              </a:effectLst>
            </c:spPr>
          </c:marker>
          <c:xVal>
            <c:numRef>
              <c:f>光線!$I$53</c:f>
              <c:numCache>
                <c:formatCode>General</c:formatCode>
                <c:ptCount val="1"/>
                <c:pt idx="0">
                  <c:v>-4.536280318070169</c:v>
                </c:pt>
              </c:numCache>
              <c:extLst xmlns:c15="http://schemas.microsoft.com/office/drawing/2012/chart"/>
            </c:numRef>
          </c:xVal>
          <c:yVal>
            <c:numRef>
              <c:f>光線!$I$54</c:f>
              <c:numCache>
                <c:formatCode>General</c:formatCode>
                <c:ptCount val="1"/>
                <c:pt idx="0">
                  <c:v>0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4344-4AA4-8D04-E2433801DB72}"/>
            </c:ext>
          </c:extLst>
        </c:ser>
        <c:ser>
          <c:idx val="7"/>
          <c:order val="7"/>
          <c:tx>
            <c:strRef>
              <c:f>光線!$J$4</c:f>
              <c:strCache>
                <c:ptCount val="1"/>
                <c:pt idx="0">
                  <c:v>7</c:v>
                </c:pt>
              </c:strCache>
            </c:strRef>
          </c:tx>
          <c:spPr>
            <a:ln w="25400" cap="rnd">
              <a:noFill/>
            </a:ln>
            <a:effectLst>
              <a:glow rad="63500">
                <a:schemeClr val="accent4">
                  <a:satMod val="175000"/>
                  <a:alpha val="40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4"/>
              </a:solidFill>
              <a:ln>
                <a:noFill/>
              </a:ln>
              <a:effectLst>
                <a:glow rad="63500">
                  <a:schemeClr val="accent4">
                    <a:satMod val="175000"/>
                    <a:alpha val="40000"/>
                  </a:schemeClr>
                </a:glow>
              </a:effectLst>
            </c:spPr>
          </c:marker>
          <c:xVal>
            <c:numRef>
              <c:f>光線!$J$53</c:f>
              <c:numCache>
                <c:formatCode>General</c:formatCode>
                <c:ptCount val="1"/>
                <c:pt idx="0">
                  <c:v>-4.5258301591378824</c:v>
                </c:pt>
              </c:numCache>
            </c:numRef>
          </c:xVal>
          <c:yVal>
            <c:numRef>
              <c:f>光線!$J$54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344-4AA4-8D04-E2433801DB72}"/>
            </c:ext>
          </c:extLst>
        </c:ser>
        <c:ser>
          <c:idx val="8"/>
          <c:order val="8"/>
          <c:tx>
            <c:strRef>
              <c:f>光線!$K$4</c:f>
              <c:strCache>
                <c:ptCount val="1"/>
                <c:pt idx="0">
                  <c:v>8</c:v>
                </c:pt>
              </c:strCache>
              <c:extLst xmlns:c15="http://schemas.microsoft.com/office/drawing/2012/chart"/>
            </c:strRef>
          </c:tx>
          <c:spPr>
            <a:ln w="25400" cap="rnd">
              <a:noFill/>
            </a:ln>
            <a:effectLst>
              <a:glow rad="63500">
                <a:schemeClr val="accent4">
                  <a:satMod val="175000"/>
                  <a:alpha val="40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4"/>
              </a:solidFill>
              <a:ln>
                <a:noFill/>
              </a:ln>
              <a:effectLst>
                <a:glow rad="63500">
                  <a:schemeClr val="accent4">
                    <a:satMod val="175000"/>
                    <a:alpha val="40000"/>
                  </a:schemeClr>
                </a:glow>
              </a:effectLst>
            </c:spPr>
          </c:marker>
          <c:xVal>
            <c:numRef>
              <c:f>光線!$K$53</c:f>
              <c:numCache>
                <c:formatCode>General</c:formatCode>
                <c:ptCount val="1"/>
                <c:pt idx="0">
                  <c:v>-4.5064917051368525</c:v>
                </c:pt>
              </c:numCache>
              <c:extLst xmlns:c15="http://schemas.microsoft.com/office/drawing/2012/chart"/>
            </c:numRef>
          </c:xVal>
          <c:yVal>
            <c:numRef>
              <c:f>光線!$K$54</c:f>
              <c:numCache>
                <c:formatCode>General</c:formatCode>
                <c:ptCount val="1"/>
                <c:pt idx="0">
                  <c:v>0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4344-4AA4-8D04-E2433801DB72}"/>
            </c:ext>
          </c:extLst>
        </c:ser>
        <c:ser>
          <c:idx val="9"/>
          <c:order val="9"/>
          <c:tx>
            <c:strRef>
              <c:f>光線!$L$4</c:f>
              <c:strCache>
                <c:ptCount val="1"/>
                <c:pt idx="0">
                  <c:v>9</c:v>
                </c:pt>
              </c:strCache>
            </c:strRef>
          </c:tx>
          <c:spPr>
            <a:ln w="25400" cap="rnd">
              <a:noFill/>
            </a:ln>
            <a:effectLst>
              <a:glow rad="63500">
                <a:schemeClr val="accent4">
                  <a:satMod val="175000"/>
                  <a:alpha val="40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4"/>
              </a:solidFill>
              <a:ln>
                <a:noFill/>
              </a:ln>
              <a:effectLst>
                <a:glow rad="63500">
                  <a:schemeClr val="accent4">
                    <a:satMod val="175000"/>
                    <a:alpha val="40000"/>
                  </a:schemeClr>
                </a:glow>
              </a:effectLst>
            </c:spPr>
          </c:marker>
          <c:xVal>
            <c:numRef>
              <c:f>光線!$L$53</c:f>
              <c:numCache>
                <c:formatCode>General</c:formatCode>
                <c:ptCount val="1"/>
                <c:pt idx="0">
                  <c:v>-4.4782503645404006</c:v>
                </c:pt>
              </c:numCache>
            </c:numRef>
          </c:xVal>
          <c:yVal>
            <c:numRef>
              <c:f>光線!$L$54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344-4AA4-8D04-E2433801D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0235488"/>
        <c:axId val="632313312"/>
      </c:scatterChart>
      <c:valAx>
        <c:axId val="630235488"/>
        <c:scaling>
          <c:orientation val="minMax"/>
          <c:max val="18"/>
          <c:min val="-18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632313312"/>
        <c:crosses val="autoZero"/>
        <c:crossBetween val="midCat"/>
        <c:majorUnit val="2"/>
      </c:valAx>
      <c:valAx>
        <c:axId val="632313312"/>
        <c:scaling>
          <c:orientation val="minMax"/>
          <c:max val="18"/>
          <c:min val="-18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630235488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218545836427739E-2"/>
          <c:y val="0.13035330261136713"/>
          <c:w val="0.91297759572672044"/>
          <c:h val="0.76250347738790714"/>
        </c:manualLayout>
      </c:layout>
      <c:scatterChart>
        <c:scatterStyle val="lineMarker"/>
        <c:varyColors val="0"/>
        <c:ser>
          <c:idx val="0"/>
          <c:order val="0"/>
          <c:tx>
            <c:strRef>
              <c:f>放物面!$A$1</c:f>
              <c:strCache>
                <c:ptCount val="1"/>
                <c:pt idx="0">
                  <c:v>主鏡放物面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放物面!$D$9:$D$49</c:f>
              <c:numCache>
                <c:formatCode>General</c:formatCode>
                <c:ptCount val="41"/>
                <c:pt idx="0">
                  <c:v>4.0625</c:v>
                </c:pt>
                <c:pt idx="1">
                  <c:v>3.6664062500000001</c:v>
                </c:pt>
                <c:pt idx="2">
                  <c:v>3.2906249999999999</c:v>
                </c:pt>
                <c:pt idx="3">
                  <c:v>2.9351562499999999</c:v>
                </c:pt>
                <c:pt idx="4">
                  <c:v>2.6</c:v>
                </c:pt>
                <c:pt idx="5">
                  <c:v>2.28515625</c:v>
                </c:pt>
                <c:pt idx="6">
                  <c:v>1.9906250000000001</c:v>
                </c:pt>
                <c:pt idx="7">
                  <c:v>1.7164062499999999</c:v>
                </c:pt>
                <c:pt idx="8">
                  <c:v>1.4624999999999999</c:v>
                </c:pt>
                <c:pt idx="9">
                  <c:v>1.2289062500000001</c:v>
                </c:pt>
                <c:pt idx="10">
                  <c:v>1.015625</c:v>
                </c:pt>
                <c:pt idx="11">
                  <c:v>0.82265624999999998</c:v>
                </c:pt>
                <c:pt idx="12">
                  <c:v>0.6499999999999968</c:v>
                </c:pt>
                <c:pt idx="13">
                  <c:v>0.49765624999999702</c:v>
                </c:pt>
                <c:pt idx="14">
                  <c:v>0.36562499999999759</c:v>
                </c:pt>
                <c:pt idx="15">
                  <c:v>0.253906249999998</c:v>
                </c:pt>
                <c:pt idx="16">
                  <c:v>0.16249999999999842</c:v>
                </c:pt>
                <c:pt idx="17">
                  <c:v>9.1406249999998773E-2</c:v>
                </c:pt>
                <c:pt idx="18">
                  <c:v>4.062499999999919E-2</c:v>
                </c:pt>
                <c:pt idx="19">
                  <c:v>1.0156249999999591E-2</c:v>
                </c:pt>
                <c:pt idx="20">
                  <c:v>0</c:v>
                </c:pt>
                <c:pt idx="21">
                  <c:v>1.015625E-2</c:v>
                </c:pt>
                <c:pt idx="22">
                  <c:v>4.0625000000000001E-2</c:v>
                </c:pt>
                <c:pt idx="23">
                  <c:v>9.1406249999999994E-2</c:v>
                </c:pt>
                <c:pt idx="24">
                  <c:v>0.16250000000000001</c:v>
                </c:pt>
                <c:pt idx="25">
                  <c:v>0.25390625</c:v>
                </c:pt>
                <c:pt idx="26">
                  <c:v>0.36562499999999998</c:v>
                </c:pt>
                <c:pt idx="27">
                  <c:v>0.49765625000000002</c:v>
                </c:pt>
                <c:pt idx="28">
                  <c:v>0.65</c:v>
                </c:pt>
                <c:pt idx="29">
                  <c:v>0.82265624999999998</c:v>
                </c:pt>
                <c:pt idx="30">
                  <c:v>1.015625</c:v>
                </c:pt>
                <c:pt idx="31">
                  <c:v>1.2289062500000001</c:v>
                </c:pt>
                <c:pt idx="32">
                  <c:v>1.4624999999999999</c:v>
                </c:pt>
                <c:pt idx="33">
                  <c:v>1.7164062499999999</c:v>
                </c:pt>
                <c:pt idx="34">
                  <c:v>1.9906250000000001</c:v>
                </c:pt>
                <c:pt idx="35">
                  <c:v>2.28515625</c:v>
                </c:pt>
                <c:pt idx="36">
                  <c:v>2.6</c:v>
                </c:pt>
                <c:pt idx="37">
                  <c:v>2.9351562499999999</c:v>
                </c:pt>
                <c:pt idx="38">
                  <c:v>3.2906249999999999</c:v>
                </c:pt>
                <c:pt idx="39">
                  <c:v>3.6664062500000001</c:v>
                </c:pt>
                <c:pt idx="40">
                  <c:v>4.0625</c:v>
                </c:pt>
              </c:numCache>
            </c:numRef>
          </c:xVal>
          <c:yVal>
            <c:numRef>
              <c:f>放物面!$C$9:$C$49</c:f>
              <c:numCache>
                <c:formatCode>General</c:formatCode>
                <c:ptCount val="41"/>
                <c:pt idx="0">
                  <c:v>-65</c:v>
                </c:pt>
                <c:pt idx="1">
                  <c:v>-61.75</c:v>
                </c:pt>
                <c:pt idx="2">
                  <c:v>-58.5</c:v>
                </c:pt>
                <c:pt idx="3">
                  <c:v>-55.25</c:v>
                </c:pt>
                <c:pt idx="4">
                  <c:v>-52</c:v>
                </c:pt>
                <c:pt idx="5">
                  <c:v>-48.75</c:v>
                </c:pt>
                <c:pt idx="6">
                  <c:v>-45.5</c:v>
                </c:pt>
                <c:pt idx="7">
                  <c:v>-42.25</c:v>
                </c:pt>
                <c:pt idx="8">
                  <c:v>-39</c:v>
                </c:pt>
                <c:pt idx="9">
                  <c:v>-35.75</c:v>
                </c:pt>
                <c:pt idx="10">
                  <c:v>-32.5</c:v>
                </c:pt>
                <c:pt idx="11">
                  <c:v>-29.25</c:v>
                </c:pt>
                <c:pt idx="12">
                  <c:v>-25.999999999999936</c:v>
                </c:pt>
                <c:pt idx="13">
                  <c:v>-22.749999999999932</c:v>
                </c:pt>
                <c:pt idx="14">
                  <c:v>-19.499999999999936</c:v>
                </c:pt>
                <c:pt idx="15">
                  <c:v>-16.249999999999936</c:v>
                </c:pt>
                <c:pt idx="16">
                  <c:v>-12.999999999999936</c:v>
                </c:pt>
                <c:pt idx="17">
                  <c:v>-9.7499999999999343</c:v>
                </c:pt>
                <c:pt idx="18">
                  <c:v>-6.4999999999999352</c:v>
                </c:pt>
                <c:pt idx="19">
                  <c:v>-3.2499999999999347</c:v>
                </c:pt>
                <c:pt idx="20">
                  <c:v>0</c:v>
                </c:pt>
                <c:pt idx="21">
                  <c:v>3.25</c:v>
                </c:pt>
                <c:pt idx="22">
                  <c:v>6.5</c:v>
                </c:pt>
                <c:pt idx="23">
                  <c:v>9.75</c:v>
                </c:pt>
                <c:pt idx="24">
                  <c:v>13</c:v>
                </c:pt>
                <c:pt idx="25">
                  <c:v>16.25</c:v>
                </c:pt>
                <c:pt idx="26">
                  <c:v>19.5</c:v>
                </c:pt>
                <c:pt idx="27">
                  <c:v>22.75</c:v>
                </c:pt>
                <c:pt idx="28">
                  <c:v>26</c:v>
                </c:pt>
                <c:pt idx="29">
                  <c:v>29.25</c:v>
                </c:pt>
                <c:pt idx="30">
                  <c:v>32.5</c:v>
                </c:pt>
                <c:pt idx="31">
                  <c:v>35.75</c:v>
                </c:pt>
                <c:pt idx="32">
                  <c:v>39</c:v>
                </c:pt>
                <c:pt idx="33">
                  <c:v>42.25</c:v>
                </c:pt>
                <c:pt idx="34">
                  <c:v>45.5</c:v>
                </c:pt>
                <c:pt idx="35">
                  <c:v>48.75</c:v>
                </c:pt>
                <c:pt idx="36">
                  <c:v>52</c:v>
                </c:pt>
                <c:pt idx="37">
                  <c:v>55.25</c:v>
                </c:pt>
                <c:pt idx="38">
                  <c:v>58.5</c:v>
                </c:pt>
                <c:pt idx="39">
                  <c:v>61.75</c:v>
                </c:pt>
                <c:pt idx="40">
                  <c:v>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09-4767-BC91-FF168DC26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916464"/>
        <c:axId val="407350992"/>
      </c:scatterChart>
      <c:valAx>
        <c:axId val="402916464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7350992"/>
        <c:crosses val="autoZero"/>
        <c:crossBetween val="midCat"/>
      </c:valAx>
      <c:valAx>
        <c:axId val="40735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2916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124239</xdr:colOff>
      <xdr:row>2</xdr:row>
      <xdr:rowOff>346364</xdr:rowOff>
    </xdr:from>
    <xdr:to>
      <xdr:col>22</xdr:col>
      <xdr:colOff>144762</xdr:colOff>
      <xdr:row>21</xdr:row>
      <xdr:rowOff>18267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E1D04E41-7282-47D3-B7EB-EEA6555D4A24}"/>
            </a:ext>
          </a:extLst>
        </xdr:cNvPr>
        <xdr:cNvGrpSpPr/>
      </xdr:nvGrpSpPr>
      <xdr:grpSpPr>
        <a:xfrm>
          <a:off x="9220614" y="1203614"/>
          <a:ext cx="10704398" cy="7815778"/>
          <a:chOff x="9079280" y="501074"/>
          <a:chExt cx="10686764" cy="7815849"/>
        </a:xfrm>
      </xdr:grpSpPr>
      <xdr:graphicFrame macro="">
        <xdr:nvGraphicFramePr>
          <xdr:cNvPr id="2" name="グラフ 1">
            <a:extLst>
              <a:ext uri="{FF2B5EF4-FFF2-40B4-BE49-F238E27FC236}">
                <a16:creationId xmlns:a16="http://schemas.microsoft.com/office/drawing/2014/main" id="{C5D2F032-0BBF-4914-86BE-0FD30DB7E6F1}"/>
              </a:ext>
            </a:extLst>
          </xdr:cNvPr>
          <xdr:cNvGraphicFramePr>
            <a:graphicFrameLocks/>
          </xdr:cNvGraphicFramePr>
        </xdr:nvGraphicFramePr>
        <xdr:xfrm>
          <a:off x="9079280" y="3514474"/>
          <a:ext cx="10686764" cy="48024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グラフ 2">
            <a:extLst>
              <a:ext uri="{FF2B5EF4-FFF2-40B4-BE49-F238E27FC236}">
                <a16:creationId xmlns:a16="http://schemas.microsoft.com/office/drawing/2014/main" id="{CD6A4B07-B95E-4199-BE0B-5F6719A0043E}"/>
              </a:ext>
            </a:extLst>
          </xdr:cNvPr>
          <xdr:cNvGraphicFramePr>
            <a:graphicFrameLocks/>
          </xdr:cNvGraphicFramePr>
        </xdr:nvGraphicFramePr>
        <xdr:xfrm>
          <a:off x="12243266" y="501074"/>
          <a:ext cx="2517630" cy="249444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4" name="矢印: 下 3">
            <a:extLst>
              <a:ext uri="{FF2B5EF4-FFF2-40B4-BE49-F238E27FC236}">
                <a16:creationId xmlns:a16="http://schemas.microsoft.com/office/drawing/2014/main" id="{438CD901-1BA3-4C58-9998-CBAD7ADEFCC8}"/>
              </a:ext>
            </a:extLst>
          </xdr:cNvPr>
          <xdr:cNvSpPr/>
        </xdr:nvSpPr>
        <xdr:spPr>
          <a:xfrm flipV="1">
            <a:off x="13251848" y="2847130"/>
            <a:ext cx="460545" cy="1124162"/>
          </a:xfrm>
          <a:prstGeom prst="downArrow">
            <a:avLst/>
          </a:prstGeom>
          <a:solidFill>
            <a:schemeClr val="tx1">
              <a:lumMod val="85000"/>
              <a:lumOff val="15000"/>
            </a:schemeClr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351064</xdr:colOff>
      <xdr:row>7</xdr:row>
      <xdr:rowOff>53885</xdr:rowOff>
    </xdr:from>
    <xdr:ext cx="5381601" cy="3803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A50DDF0F-5E9A-4465-B0A5-B3B1106A047C}"/>
                </a:ext>
              </a:extLst>
            </xdr:cNvPr>
            <xdr:cNvSpPr txBox="1"/>
          </xdr:nvSpPr>
          <xdr:spPr>
            <a:xfrm>
              <a:off x="11790135" y="1877242"/>
              <a:ext cx="5381601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kumimoji="1" lang="en-US" altLang="ja-JP" sz="11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kumimoji="1" lang="en-US" altLang="ja-JP" sz="1100" b="0" i="1">
                          <a:latin typeface="Cambria Math" panose="02040503050406030204" pitchFamily="18" charset="0"/>
                        </a:rPr>
                        <m:t>𝑦</m:t>
                      </m:r>
                    </m:e>
                    <m:sub>
                      <m:r>
                        <a:rPr kumimoji="1" lang="en-US" altLang="ja-JP" sz="1100" b="0" i="1">
                          <a:latin typeface="Cambria Math" panose="02040503050406030204" pitchFamily="18" charset="0"/>
                        </a:rPr>
                        <m:t>1</m:t>
                      </m:r>
                    </m:sub>
                  </m:sSub>
                  <m:r>
                    <a:rPr kumimoji="1" lang="en-US" altLang="ja-JP" sz="1100" b="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11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kumimoji="1" lang="en-US" altLang="ja-JP" sz="1100" b="0" i="1">
                          <a:latin typeface="Cambria Math" panose="02040503050406030204" pitchFamily="18" charset="0"/>
                        </a:rPr>
                        <m:t>2</m:t>
                      </m:r>
                      <m:r>
                        <a:rPr kumimoji="1" lang="en-US" altLang="ja-JP" sz="1100" b="0" i="1">
                          <a:latin typeface="Cambria Math" panose="02040503050406030204" pitchFamily="18" charset="0"/>
                        </a:rPr>
                        <m:t>𝑝</m:t>
                      </m:r>
                    </m:num>
                    <m:den>
                      <m:r>
                        <a:rPr kumimoji="1" lang="en-US" altLang="ja-JP" sz="1100" b="0" i="1">
                          <a:latin typeface="Cambria Math" panose="02040503050406030204" pitchFamily="18" charset="0"/>
                        </a:rPr>
                        <m:t>𝑎</m:t>
                      </m:r>
                    </m:den>
                  </m:f>
                  <m:d>
                    <m:dPr>
                      <m:ctrlPr>
                        <a:rPr kumimoji="1" lang="en-US" altLang="ja-JP" sz="11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kumimoji="1" lang="en-US" altLang="ja-JP" sz="1100" b="0" i="1">
                          <a:latin typeface="Cambria Math" panose="02040503050406030204" pitchFamily="18" charset="0"/>
                        </a:rPr>
                        <m:t>1±</m:t>
                      </m:r>
                      <m:rad>
                        <m:radPr>
                          <m:degHide m:val="on"/>
                          <m:ctrlPr>
                            <a:rPr kumimoji="1" lang="en-US" altLang="ja-JP" sz="1100" b="0" i="1">
                              <a:latin typeface="Cambria Math" panose="02040503050406030204" pitchFamily="18" charset="0"/>
                            </a:rPr>
                          </m:ctrlPr>
                        </m:radPr>
                        <m:deg/>
                        <m:e>
                          <m:r>
                            <a:rPr kumimoji="1" lang="en-US" altLang="ja-JP" sz="1100" b="0" i="1">
                              <a:latin typeface="Cambria Math" panose="02040503050406030204" pitchFamily="18" charset="0"/>
                            </a:rPr>
                            <m:t>1−</m:t>
                          </m:r>
                          <m:f>
                            <m:fPr>
                              <m:ctrlPr>
                                <a:rPr kumimoji="1" lang="en-US" altLang="ja-JP" sz="1100" b="0" i="1">
                                  <a:latin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kumimoji="1" lang="en-US" altLang="ja-JP" sz="1100" b="0" i="1">
                                  <a:latin typeface="Cambria Math" panose="02040503050406030204" pitchFamily="18" charset="0"/>
                                </a:rPr>
                                <m:t>𝑎</m:t>
                              </m:r>
                            </m:num>
                            <m:den>
                              <m:r>
                                <a:rPr kumimoji="1" lang="en-US" altLang="ja-JP" sz="1100" b="0" i="1">
                                  <a:latin typeface="Cambria Math" panose="02040503050406030204" pitchFamily="18" charset="0"/>
                                </a:rPr>
                                <m:t>𝑝</m:t>
                              </m:r>
                            </m:den>
                          </m:f>
                          <m:d>
                            <m:dPr>
                              <m:ctrlPr>
                                <a:rPr kumimoji="1" lang="en-US" altLang="ja-JP" sz="1100" b="0" i="1">
                                  <a:latin typeface="Cambria Math" panose="02040503050406030204" pitchFamily="18" charset="0"/>
                                </a:rPr>
                              </m:ctrlPr>
                            </m:dPr>
                            <m:e>
                              <m:sSub>
                                <m:sSubPr>
                                  <m:ctrlPr>
                                    <a:rPr kumimoji="1" lang="en-US" altLang="ja-JP" sz="1100" b="0" i="1"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kumimoji="1" lang="en-US" altLang="ja-JP" sz="1100" b="0" i="1">
                                      <a:latin typeface="Cambria Math" panose="02040503050406030204" pitchFamily="18" charset="0"/>
                                    </a:rPr>
                                    <m:t>𝑦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latin typeface="Cambria Math" panose="02040503050406030204" pitchFamily="18" charset="0"/>
                                    </a:rPr>
                                    <m:t>0</m:t>
                                  </m:r>
                                </m:sub>
                              </m:sSub>
                              <m:r>
                                <a:rPr kumimoji="1" lang="en-US" altLang="ja-JP" sz="1100" b="0" i="1">
                                  <a:latin typeface="Cambria Math" panose="02040503050406030204" pitchFamily="18" charset="0"/>
                                </a:rPr>
                                <m:t>−</m:t>
                              </m:r>
                              <m:r>
                                <a:rPr kumimoji="1" lang="en-US" altLang="ja-JP" sz="1100" b="0" i="1">
                                  <a:latin typeface="Cambria Math" panose="02040503050406030204" pitchFamily="18" charset="0"/>
                                </a:rPr>
                                <m:t>𝑎</m:t>
                              </m:r>
                              <m:sSub>
                                <m:sSubPr>
                                  <m:ctrlPr>
                                    <a:rPr kumimoji="1" lang="en-US" altLang="ja-JP" sz="1100" b="0" i="1"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kumimoji="1" lang="en-US" altLang="ja-JP" sz="1100" b="0" i="1">
                                      <a:latin typeface="Cambria Math" panose="02040503050406030204" pitchFamily="18" charset="0"/>
                                    </a:rPr>
                                    <m:t>𝑥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latin typeface="Cambria Math" panose="02040503050406030204" pitchFamily="18" charset="0"/>
                                    </a:rPr>
                                    <m:t>0</m:t>
                                  </m:r>
                                </m:sub>
                              </m:sSub>
                            </m:e>
                          </m:d>
                        </m:e>
                      </m:rad>
                      <m:r>
                        <a:rPr kumimoji="1" lang="en-US" altLang="ja-JP" sz="1100" b="0" i="1">
                          <a:latin typeface="Cambria Math" panose="02040503050406030204" pitchFamily="18" charset="0"/>
                        </a:rPr>
                        <m:t> </m:t>
                      </m:r>
                    </m:e>
                  </m:d>
                </m:oMath>
              </a14:m>
              <a:r>
                <a:rPr kumimoji="1" lang="ja-JP" altLang="en-US" sz="1100"/>
                <a:t>  </a:t>
              </a:r>
              <a:r>
                <a:rPr kumimoji="1" lang="en-US" altLang="ja-JP" sz="1100"/>
                <a:t>※2</a:t>
              </a:r>
              <a:r>
                <a:rPr kumimoji="1" lang="ja-JP" altLang="en-US" sz="1100"/>
                <a:t>交点のうち小さい方が主鏡との交点。</a:t>
              </a:r>
              <a:r>
                <a:rPr kumimoji="1" lang="en-US" altLang="ja-JP" sz="1100"/>
                <a:t>+</a:t>
              </a:r>
              <a:r>
                <a:rPr kumimoji="1" lang="ja-JP" altLang="en-US" sz="1100"/>
                <a:t>は不適。</a:t>
              </a:r>
            </a:p>
          </xdr:txBody>
        </xdr:sp>
      </mc:Choice>
      <mc:Fallback xmlns="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A50DDF0F-5E9A-4465-B0A5-B3B1106A047C}"/>
                </a:ext>
              </a:extLst>
            </xdr:cNvPr>
            <xdr:cNvSpPr txBox="1"/>
          </xdr:nvSpPr>
          <xdr:spPr>
            <a:xfrm>
              <a:off x="11790135" y="1877242"/>
              <a:ext cx="5381601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1100" b="0" i="0">
                  <a:latin typeface="Cambria Math" panose="02040503050406030204" pitchFamily="18" charset="0"/>
                </a:rPr>
                <a:t>𝑦_1=2𝑝/𝑎 (1±√(1−𝑎/𝑝 (𝑦_0−𝑎𝑥_0 ) )  )</a:t>
              </a:r>
              <a:r>
                <a:rPr kumimoji="1" lang="ja-JP" altLang="en-US" sz="1100"/>
                <a:t>  </a:t>
              </a:r>
              <a:r>
                <a:rPr kumimoji="1" lang="en-US" altLang="ja-JP" sz="1100"/>
                <a:t>※2</a:t>
              </a:r>
              <a:r>
                <a:rPr kumimoji="1" lang="ja-JP" altLang="en-US" sz="1100"/>
                <a:t>交点のうち小さい方が主鏡との交点。</a:t>
              </a:r>
              <a:r>
                <a:rPr kumimoji="1" lang="en-US" altLang="ja-JP" sz="1100"/>
                <a:t>+</a:t>
              </a:r>
              <a:r>
                <a:rPr kumimoji="1" lang="ja-JP" altLang="en-US" sz="1100"/>
                <a:t>は不適。</a:t>
              </a:r>
            </a:p>
          </xdr:txBody>
        </xdr:sp>
      </mc:Fallback>
    </mc:AlternateContent>
    <xdr:clientData/>
  </xdr:oneCellAnchor>
  <xdr:oneCellAnchor>
    <xdr:from>
      <xdr:col>12</xdr:col>
      <xdr:colOff>339090</xdr:colOff>
      <xdr:row>9</xdr:row>
      <xdr:rowOff>110490</xdr:rowOff>
    </xdr:from>
    <xdr:ext cx="510011" cy="36824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901009B4-580C-4C3A-ABBE-81DAC5B454F0}"/>
                </a:ext>
              </a:extLst>
            </xdr:cNvPr>
            <xdr:cNvSpPr txBox="1"/>
          </xdr:nvSpPr>
          <xdr:spPr>
            <a:xfrm>
              <a:off x="11778161" y="2387419"/>
              <a:ext cx="510011" cy="3682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𝑦</m:t>
                            </m:r>
                          </m:e>
                          <m:sup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4</m:t>
                        </m:r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𝑝</m:t>
                        </m:r>
                      </m:den>
                    </m:f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901009B4-580C-4C3A-ABBE-81DAC5B454F0}"/>
                </a:ext>
              </a:extLst>
            </xdr:cNvPr>
            <xdr:cNvSpPr txBox="1"/>
          </xdr:nvSpPr>
          <xdr:spPr>
            <a:xfrm>
              <a:off x="11778161" y="2387419"/>
              <a:ext cx="510011" cy="3682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1100" b="0" i="0">
                  <a:latin typeface="Cambria Math" panose="02040503050406030204" pitchFamily="18" charset="0"/>
                </a:rPr>
                <a:t>𝑥_1=𝑦^2/4𝑝</a:t>
              </a:r>
              <a:endParaRPr kumimoji="1" lang="ja-JP" altLang="en-US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3256020" cy="282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4518072F-7BD9-44EA-8CC5-92FD8E2EFF41}"/>
                </a:ext>
              </a:extLst>
            </xdr:cNvPr>
            <xdr:cNvSpPr txBox="1"/>
          </xdr:nvSpPr>
          <xdr:spPr>
            <a:xfrm>
              <a:off x="670560" y="464820"/>
              <a:ext cx="3256020" cy="282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ja-JP" altLang="en-US" sz="1100" b="0"/>
                <a:t>焦点の座標が</a:t>
              </a:r>
              <a14:m>
                <m:oMath xmlns:m="http://schemas.openxmlformats.org/officeDocument/2006/math">
                  <m:r>
                    <a:rPr kumimoji="1" lang="en-US" altLang="ja-JP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kumimoji="1" lang="en-US" altLang="ja-JP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𝑝</m:t>
                  </m:r>
                  <m:r>
                    <a:rPr kumimoji="1" lang="en-US" altLang="ja-JP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, 0)</m:t>
                  </m:r>
                </m:oMath>
              </a14:m>
              <a:r>
                <a:rPr kumimoji="1" lang="ja-JP" altLang="en-US" sz="1100" b="0"/>
                <a:t>の放物線の式は</a:t>
              </a:r>
              <a14:m>
                <m:oMath xmlns:m="http://schemas.openxmlformats.org/officeDocument/2006/math">
                  <m:r>
                    <a:rPr kumimoji="1" lang="en-US" altLang="ja-JP" sz="1100" b="0" i="1">
                      <a:latin typeface="Cambria Math" panose="02040503050406030204" pitchFamily="18" charset="0"/>
                    </a:rPr>
                    <m:t>𝑥</m:t>
                  </m:r>
                  <m:r>
                    <a:rPr kumimoji="1" lang="en-US" altLang="ja-JP" sz="1100" b="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11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p>
                        <m:sSupPr>
                          <m:ctrlPr>
                            <a:rPr kumimoji="1" lang="en-US" altLang="ja-JP" sz="1100" b="0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kumimoji="1" lang="en-US" altLang="ja-JP" sz="1100" b="0" i="1">
                              <a:latin typeface="Cambria Math" panose="02040503050406030204" pitchFamily="18" charset="0"/>
                            </a:rPr>
                            <m:t>𝑦</m:t>
                          </m:r>
                        </m:e>
                        <m:sup>
                          <m:r>
                            <a:rPr kumimoji="1" lang="en-US" altLang="ja-JP" sz="1100" b="0" i="1">
                              <a:latin typeface="Cambria Math" panose="02040503050406030204" pitchFamily="18" charset="0"/>
                            </a:rPr>
                            <m:t>2</m:t>
                          </m:r>
                        </m:sup>
                      </m:sSup>
                    </m:num>
                    <m:den>
                      <m:r>
                        <a:rPr kumimoji="1" lang="en-US" altLang="ja-JP" sz="1100" b="0" i="1">
                          <a:latin typeface="Cambria Math" panose="02040503050406030204" pitchFamily="18" charset="0"/>
                        </a:rPr>
                        <m:t>4</m:t>
                      </m:r>
                      <m:r>
                        <a:rPr kumimoji="1" lang="en-US" altLang="ja-JP" sz="1100" b="0" i="1">
                          <a:latin typeface="Cambria Math" panose="02040503050406030204" pitchFamily="18" charset="0"/>
                        </a:rPr>
                        <m:t>𝑝</m:t>
                      </m:r>
                    </m:den>
                  </m:f>
                </m:oMath>
              </a14:m>
              <a:r>
                <a:rPr kumimoji="1" lang="ja-JP" altLang="en-US" sz="1100"/>
                <a:t>と表される</a:t>
              </a:r>
            </a:p>
          </xdr:txBody>
        </xdr:sp>
      </mc:Choice>
      <mc:Fallback xmlns="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4518072F-7BD9-44EA-8CC5-92FD8E2EFF41}"/>
                </a:ext>
              </a:extLst>
            </xdr:cNvPr>
            <xdr:cNvSpPr txBox="1"/>
          </xdr:nvSpPr>
          <xdr:spPr>
            <a:xfrm>
              <a:off x="670560" y="464820"/>
              <a:ext cx="3256020" cy="282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ja-JP" altLang="en-US" sz="1100" b="0"/>
                <a:t>焦点の座標が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(𝑝, 0)</a:t>
              </a:r>
              <a:r>
                <a:rPr kumimoji="1" lang="ja-JP" altLang="en-US" sz="1100" b="0"/>
                <a:t>の放物線の式は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𝑥=𝑦^2/4𝑝</a:t>
              </a:r>
              <a:r>
                <a:rPr kumimoji="1" lang="ja-JP" altLang="en-US" sz="1100"/>
                <a:t>と表される</a:t>
              </a:r>
            </a:p>
          </xdr:txBody>
        </xdr:sp>
      </mc:Fallback>
    </mc:AlternateContent>
    <xdr:clientData/>
  </xdr:oneCellAnchor>
  <xdr:twoCellAnchor>
    <xdr:from>
      <xdr:col>4</xdr:col>
      <xdr:colOff>361950</xdr:colOff>
      <xdr:row>7</xdr:row>
      <xdr:rowOff>19050</xdr:rowOff>
    </xdr:from>
    <xdr:to>
      <xdr:col>19</xdr:col>
      <xdr:colOff>266700</xdr:colOff>
      <xdr:row>25</xdr:row>
      <xdr:rowOff>38100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8241E32-DF3D-4250-86B5-12C7AE3CD3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E1083-4ACC-46F1-A6BB-E30811C63291}">
  <sheetPr codeName="Sheet1">
    <tabColor theme="4" tint="-0.499984740745262"/>
  </sheetPr>
  <dimension ref="A1:Z92"/>
  <sheetViews>
    <sheetView tabSelected="1" zoomScale="48" zoomScaleNormal="70" workbookViewId="0">
      <selection activeCell="N19" sqref="N19"/>
    </sheetView>
  </sheetViews>
  <sheetFormatPr defaultColWidth="0" defaultRowHeight="18" zeroHeight="1" x14ac:dyDescent="0.45"/>
  <cols>
    <col min="1" max="1" width="4.09765625" customWidth="1"/>
    <col min="2" max="2" width="38.09765625" customWidth="1"/>
    <col min="3" max="3" width="8.296875" customWidth="1"/>
    <col min="4" max="4" width="8.796875" customWidth="1"/>
    <col min="5" max="5" width="51.296875" customWidth="1"/>
    <col min="6" max="7" width="8.796875" customWidth="1"/>
    <col min="8" max="8" width="8.8984375" customWidth="1"/>
    <col min="9" max="23" width="8.796875" customWidth="1"/>
    <col min="24" max="26" width="0" hidden="1" customWidth="1"/>
    <col min="27" max="16384" width="8.796875" hidden="1"/>
  </cols>
  <sheetData>
    <row r="1" spans="1:23" ht="50.4" customHeight="1" x14ac:dyDescent="0.45">
      <c r="A1" s="7" t="s">
        <v>87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x14ac:dyDescent="0.4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33.6" customHeight="1" x14ac:dyDescent="0.45">
      <c r="A3" s="6"/>
      <c r="B3" s="12" t="s">
        <v>13</v>
      </c>
      <c r="C3" s="13"/>
      <c r="D3" s="13"/>
      <c r="E3" s="13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33.6" customHeight="1" x14ac:dyDescent="0.45">
      <c r="A4" s="6"/>
      <c r="B4" s="13"/>
      <c r="C4" s="22" t="s">
        <v>6</v>
      </c>
      <c r="D4" s="22" t="s">
        <v>5</v>
      </c>
      <c r="E4" s="22" t="s">
        <v>9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33.6" customHeight="1" x14ac:dyDescent="0.45">
      <c r="A5" s="6"/>
      <c r="B5" s="17" t="s">
        <v>2</v>
      </c>
      <c r="C5" s="18">
        <v>130</v>
      </c>
      <c r="D5" s="23" t="s">
        <v>4</v>
      </c>
      <c r="E5" s="19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33.6" customHeight="1" x14ac:dyDescent="0.45">
      <c r="A6" s="6"/>
      <c r="B6" s="20" t="s">
        <v>3</v>
      </c>
      <c r="C6" s="18">
        <v>260</v>
      </c>
      <c r="D6" s="23" t="s">
        <v>4</v>
      </c>
      <c r="E6" s="19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33.6" customHeight="1" x14ac:dyDescent="0.45">
      <c r="A7" s="6"/>
      <c r="B7" s="20" t="s">
        <v>10</v>
      </c>
      <c r="C7" s="18">
        <v>160</v>
      </c>
      <c r="D7" s="23" t="s">
        <v>4</v>
      </c>
      <c r="E7" s="19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33.6" customHeight="1" x14ac:dyDescent="0.45">
      <c r="A8" s="6"/>
      <c r="B8" s="20" t="s">
        <v>12</v>
      </c>
      <c r="C8" s="18">
        <v>60</v>
      </c>
      <c r="D8" s="23" t="s">
        <v>4</v>
      </c>
      <c r="E8" s="1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33.6" customHeight="1" x14ac:dyDescent="0.45">
      <c r="A9" s="6"/>
      <c r="B9" s="20" t="s">
        <v>11</v>
      </c>
      <c r="C9" s="18">
        <v>100</v>
      </c>
      <c r="D9" s="23" t="s">
        <v>4</v>
      </c>
      <c r="E9" s="19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33.6" customHeight="1" x14ac:dyDescent="0.45">
      <c r="A10" s="6"/>
      <c r="B10" s="20" t="s">
        <v>32</v>
      </c>
      <c r="C10" s="18">
        <v>30</v>
      </c>
      <c r="D10" s="23" t="s">
        <v>4</v>
      </c>
      <c r="E10" s="19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33.6" customHeight="1" x14ac:dyDescent="0.45">
      <c r="A11" s="6"/>
      <c r="B11" s="20" t="s">
        <v>79</v>
      </c>
      <c r="C11" s="21">
        <f>C6/C5</f>
        <v>2</v>
      </c>
      <c r="D11" s="23" t="s">
        <v>81</v>
      </c>
      <c r="E11" s="25" t="s">
        <v>80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33.6" customHeight="1" x14ac:dyDescent="0.45">
      <c r="A12" s="6"/>
      <c r="B12" s="13"/>
      <c r="C12" s="13"/>
      <c r="D12" s="13"/>
      <c r="E12" s="13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33.6" customHeight="1" x14ac:dyDescent="0.45">
      <c r="A13" s="6"/>
      <c r="B13" s="12" t="s">
        <v>14</v>
      </c>
      <c r="C13" s="13"/>
      <c r="D13" s="13"/>
      <c r="E13" s="13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33.6" customHeight="1" x14ac:dyDescent="0.45">
      <c r="A14" s="6"/>
      <c r="B14" s="13"/>
      <c r="C14" s="22" t="s">
        <v>6</v>
      </c>
      <c r="D14" s="22" t="s">
        <v>5</v>
      </c>
      <c r="E14" s="22" t="s">
        <v>9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33.6" customHeight="1" x14ac:dyDescent="0.45">
      <c r="A15" s="6"/>
      <c r="B15" s="20" t="s">
        <v>21</v>
      </c>
      <c r="C15" s="18">
        <v>250</v>
      </c>
      <c r="D15" s="23" t="s">
        <v>4</v>
      </c>
      <c r="E15" s="14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33.6" customHeight="1" x14ac:dyDescent="0.45">
      <c r="A16" s="6"/>
      <c r="B16" s="20" t="s">
        <v>22</v>
      </c>
      <c r="C16" s="18">
        <v>150</v>
      </c>
      <c r="D16" s="23" t="s">
        <v>4</v>
      </c>
      <c r="E16" s="14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33.6" customHeight="1" x14ac:dyDescent="0.45">
      <c r="A17" s="6"/>
      <c r="B17" s="13"/>
      <c r="C17" s="13"/>
      <c r="D17" s="13"/>
      <c r="E17" s="13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33.6" customHeight="1" x14ac:dyDescent="0.45">
      <c r="A18" s="6"/>
      <c r="B18" s="13"/>
      <c r="C18" s="13"/>
      <c r="D18" s="13"/>
      <c r="E18" s="13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33.6" customHeight="1" x14ac:dyDescent="0.45">
      <c r="A19" s="6"/>
      <c r="B19" s="12" t="s">
        <v>89</v>
      </c>
      <c r="C19" s="13"/>
      <c r="D19" s="13"/>
      <c r="E19" s="13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33.6" customHeight="1" x14ac:dyDescent="0.45">
      <c r="A20" s="6"/>
      <c r="B20" s="13"/>
      <c r="C20" s="22" t="s">
        <v>6</v>
      </c>
      <c r="D20" s="22" t="s">
        <v>5</v>
      </c>
      <c r="E20" s="22" t="s">
        <v>9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33.6" customHeight="1" x14ac:dyDescent="0.45">
      <c r="A21" s="6"/>
      <c r="B21" s="20" t="s">
        <v>90</v>
      </c>
      <c r="C21" s="24">
        <v>1</v>
      </c>
      <c r="D21" s="19" t="s">
        <v>30</v>
      </c>
      <c r="E21" s="16" t="s">
        <v>88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x14ac:dyDescent="0.45">
      <c r="A22" s="6"/>
      <c r="B22" s="13"/>
      <c r="C22" s="13"/>
      <c r="D22" s="13"/>
      <c r="E22" s="13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x14ac:dyDescent="0.45">
      <c r="A23" s="6"/>
      <c r="B23" s="13"/>
      <c r="C23" s="13"/>
      <c r="D23" s="13"/>
      <c r="E23" s="1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x14ac:dyDescent="0.45">
      <c r="A24" s="6"/>
      <c r="B24" s="13"/>
      <c r="C24" s="13"/>
      <c r="D24" s="13"/>
      <c r="E24" s="13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x14ac:dyDescent="0.45">
      <c r="A25" s="6"/>
      <c r="B25" s="13"/>
      <c r="C25" s="13"/>
      <c r="D25" s="13"/>
      <c r="E25" s="13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 t="s">
        <v>91</v>
      </c>
      <c r="V25" s="6"/>
      <c r="W25" s="6"/>
    </row>
    <row r="26" spans="1:23" hidden="1" x14ac:dyDescent="0.45">
      <c r="A26" s="6"/>
      <c r="B26" s="13"/>
      <c r="C26" s="13"/>
      <c r="D26" s="13"/>
      <c r="E26" s="13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idden="1" x14ac:dyDescent="0.45">
      <c r="A27" s="6"/>
      <c r="B27" s="13"/>
      <c r="C27" s="13"/>
      <c r="D27" s="13"/>
      <c r="E27" s="13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idden="1" x14ac:dyDescent="0.45">
      <c r="A28" s="6"/>
      <c r="B28" s="13"/>
      <c r="C28" s="13"/>
      <c r="D28" s="13"/>
      <c r="E28" s="13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idden="1" x14ac:dyDescent="0.45">
      <c r="A29" s="6"/>
      <c r="B29" s="13"/>
      <c r="C29" s="13"/>
      <c r="D29" s="13"/>
      <c r="E29" s="13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idden="1" x14ac:dyDescent="0.45">
      <c r="A30" s="6"/>
      <c r="B30" s="13"/>
      <c r="C30" s="13"/>
      <c r="D30" s="13"/>
      <c r="E30" s="13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idden="1" x14ac:dyDescent="0.45">
      <c r="A31" s="6"/>
      <c r="B31" s="13"/>
      <c r="C31" s="13"/>
      <c r="D31" s="13"/>
      <c r="E31" s="13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idden="1" x14ac:dyDescent="0.4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idden="1" x14ac:dyDescent="0.4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idden="1" x14ac:dyDescent="0.4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idden="1" x14ac:dyDescent="0.4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idden="1" x14ac:dyDescent="0.4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idden="1" x14ac:dyDescent="0.4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idden="1" x14ac:dyDescent="0.45">
      <c r="A38" s="6"/>
      <c r="B38" s="13"/>
      <c r="C38" s="13"/>
      <c r="D38" s="13"/>
      <c r="E38" s="13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idden="1" x14ac:dyDescent="0.45">
      <c r="A39" s="6"/>
      <c r="B39" s="13"/>
      <c r="C39" s="13"/>
      <c r="D39" s="13"/>
      <c r="E39" s="13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idden="1" x14ac:dyDescent="0.4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idden="1" x14ac:dyDescent="0.4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idden="1" x14ac:dyDescent="0.4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idden="1" x14ac:dyDescent="0.4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idden="1" x14ac:dyDescent="0.4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idden="1" x14ac:dyDescent="0.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idden="1" x14ac:dyDescent="0.45">
      <c r="A46" s="6"/>
      <c r="B46" s="13"/>
      <c r="C46" s="13"/>
      <c r="D46" s="13"/>
      <c r="E46" s="13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idden="1" x14ac:dyDescent="0.45">
      <c r="A47" s="6"/>
      <c r="B47" s="13"/>
      <c r="C47" s="13"/>
      <c r="D47" s="13"/>
      <c r="E47" s="13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idden="1" x14ac:dyDescent="0.4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idden="1" x14ac:dyDescent="0.4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idden="1" x14ac:dyDescent="0.4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idden="1" x14ac:dyDescent="0.4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hidden="1" x14ac:dyDescent="0.4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hidden="1" x14ac:dyDescent="0.4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idden="1" x14ac:dyDescent="0.45">
      <c r="A54" s="6"/>
      <c r="B54" s="13"/>
      <c r="C54" s="13"/>
      <c r="D54" s="13"/>
      <c r="E54" s="13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hidden="1" x14ac:dyDescent="0.45">
      <c r="A55" s="6"/>
      <c r="B55" s="13"/>
      <c r="C55" s="13"/>
      <c r="D55" s="13"/>
      <c r="E55" s="13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idden="1" x14ac:dyDescent="0.4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hidden="1" x14ac:dyDescent="0.4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idden="1" x14ac:dyDescent="0.4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idden="1" x14ac:dyDescent="0.4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idden="1" x14ac:dyDescent="0.4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hidden="1" x14ac:dyDescent="0.4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hidden="1" x14ac:dyDescent="0.45">
      <c r="A62" s="6"/>
      <c r="B62" s="13"/>
      <c r="C62" s="13"/>
      <c r="D62" s="13"/>
      <c r="E62" s="13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hidden="1" x14ac:dyDescent="0.45">
      <c r="A63" s="6"/>
      <c r="B63" s="13"/>
      <c r="C63" s="13"/>
      <c r="D63" s="13"/>
      <c r="E63" s="13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hidden="1" x14ac:dyDescent="0.4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hidden="1" x14ac:dyDescent="0.4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idden="1" x14ac:dyDescent="0.4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idden="1" x14ac:dyDescent="0.4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idden="1" x14ac:dyDescent="0.4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idden="1" x14ac:dyDescent="0.4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idden="1" x14ac:dyDescent="0.45">
      <c r="A70" s="6"/>
      <c r="B70" s="13"/>
      <c r="C70" s="13"/>
      <c r="D70" s="13"/>
      <c r="E70" s="13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hidden="1" x14ac:dyDescent="0.45">
      <c r="A71" s="6"/>
      <c r="B71" s="13"/>
      <c r="C71" s="13"/>
      <c r="D71" s="13"/>
      <c r="E71" s="13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idden="1" x14ac:dyDescent="0.4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hidden="1" x14ac:dyDescent="0.4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idden="1" x14ac:dyDescent="0.4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idden="1" x14ac:dyDescent="0.4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idden="1" x14ac:dyDescent="0.4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hidden="1" x14ac:dyDescent="0.4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idden="1" x14ac:dyDescent="0.45">
      <c r="A78" s="6"/>
      <c r="B78" s="13"/>
      <c r="C78" s="13"/>
      <c r="D78" s="13"/>
      <c r="E78" s="13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hidden="1" x14ac:dyDescent="0.45">
      <c r="A79" s="6"/>
      <c r="B79" s="13"/>
      <c r="C79" s="13"/>
      <c r="D79" s="13"/>
      <c r="E79" s="13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idden="1" x14ac:dyDescent="0.4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hidden="1" x14ac:dyDescent="0.4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idden="1" x14ac:dyDescent="0.4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hidden="1" x14ac:dyDescent="0.4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idden="1" x14ac:dyDescent="0.4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idden="1" x14ac:dyDescent="0.4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idden="1" x14ac:dyDescent="0.45">
      <c r="A86" s="6"/>
      <c r="B86" s="13"/>
      <c r="C86" s="13"/>
      <c r="D86" s="13"/>
      <c r="E86" s="13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idden="1" x14ac:dyDescent="0.45">
      <c r="A87" s="6"/>
      <c r="B87" s="13"/>
      <c r="C87" s="13"/>
      <c r="D87" s="13"/>
      <c r="E87" s="13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idden="1" x14ac:dyDescent="0.4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idden="1" x14ac:dyDescent="0.4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idden="1" x14ac:dyDescent="0.4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idden="1" x14ac:dyDescent="0.4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idden="1" x14ac:dyDescent="0.4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D9E19-7130-4D60-A78F-D7BEC0D850B4}">
  <sheetPr codeName="Sheet2">
    <tabColor theme="4" tint="0.79998168889431442"/>
  </sheetPr>
  <dimension ref="A1:D11"/>
  <sheetViews>
    <sheetView workbookViewId="0">
      <selection activeCell="D12" sqref="D12"/>
    </sheetView>
  </sheetViews>
  <sheetFormatPr defaultRowHeight="18" x14ac:dyDescent="0.45"/>
  <sheetData>
    <row r="1" spans="1:4" x14ac:dyDescent="0.45">
      <c r="A1" t="s">
        <v>73</v>
      </c>
    </row>
    <row r="3" spans="1:4" x14ac:dyDescent="0.45">
      <c r="B3" t="s">
        <v>75</v>
      </c>
      <c r="C3">
        <f>メイン画面!$C$10/2</f>
        <v>15</v>
      </c>
    </row>
    <row r="5" spans="1:4" x14ac:dyDescent="0.45">
      <c r="C5" t="s">
        <v>74</v>
      </c>
    </row>
    <row r="6" spans="1:4" x14ac:dyDescent="0.45">
      <c r="C6" t="s">
        <v>0</v>
      </c>
      <c r="D6" t="s">
        <v>1</v>
      </c>
    </row>
    <row r="7" spans="1:4" x14ac:dyDescent="0.45">
      <c r="B7">
        <v>0</v>
      </c>
      <c r="C7">
        <f>-C3</f>
        <v>-15</v>
      </c>
      <c r="D7">
        <f>C7</f>
        <v>-15</v>
      </c>
    </row>
    <row r="8" spans="1:4" x14ac:dyDescent="0.45">
      <c r="B8">
        <v>5</v>
      </c>
      <c r="C8">
        <f>C7</f>
        <v>-15</v>
      </c>
      <c r="D8">
        <f>C3</f>
        <v>15</v>
      </c>
    </row>
    <row r="9" spans="1:4" x14ac:dyDescent="0.45">
      <c r="B9">
        <v>10</v>
      </c>
      <c r="C9">
        <f>C3</f>
        <v>15</v>
      </c>
      <c r="D9">
        <f>D8</f>
        <v>15</v>
      </c>
    </row>
    <row r="10" spans="1:4" x14ac:dyDescent="0.45">
      <c r="B10">
        <v>15</v>
      </c>
      <c r="C10">
        <f>C3</f>
        <v>15</v>
      </c>
      <c r="D10">
        <f>D7</f>
        <v>-15</v>
      </c>
    </row>
    <row r="11" spans="1:4" x14ac:dyDescent="0.45">
      <c r="B11">
        <v>20</v>
      </c>
      <c r="C11">
        <f>C7</f>
        <v>-15</v>
      </c>
      <c r="D11">
        <f>D7</f>
        <v>-15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709B9-82BC-4EAB-B6B1-2EABD01062A3}">
  <sheetPr codeName="Sheet3">
    <tabColor theme="4" tint="0.79998168889431442"/>
  </sheetPr>
  <dimension ref="A1:O63"/>
  <sheetViews>
    <sheetView zoomScale="84" workbookViewId="0">
      <selection activeCell="D12" sqref="D12"/>
    </sheetView>
  </sheetViews>
  <sheetFormatPr defaultRowHeight="18" x14ac:dyDescent="0.45"/>
  <cols>
    <col min="2" max="2" width="16.5" customWidth="1"/>
    <col min="3" max="3" width="8.8984375" bestFit="1" customWidth="1"/>
    <col min="4" max="4" width="13.8984375" bestFit="1" customWidth="1"/>
    <col min="5" max="8" width="12.5" bestFit="1" customWidth="1"/>
    <col min="9" max="12" width="13.59765625" bestFit="1" customWidth="1"/>
  </cols>
  <sheetData>
    <row r="1" spans="1:15" ht="36.6" x14ac:dyDescent="0.45">
      <c r="A1" s="2" t="s">
        <v>23</v>
      </c>
    </row>
    <row r="2" spans="1:15" x14ac:dyDescent="0.45">
      <c r="B2" s="1" t="s">
        <v>37</v>
      </c>
      <c r="C2" s="1" t="s">
        <v>33</v>
      </c>
      <c r="D2" s="1">
        <f>メイン画面!C6</f>
        <v>260</v>
      </c>
    </row>
    <row r="4" spans="1:15" x14ac:dyDescent="0.45">
      <c r="D4" s="1">
        <v>1</v>
      </c>
      <c r="E4" s="1">
        <v>2</v>
      </c>
      <c r="F4" s="1">
        <v>3</v>
      </c>
      <c r="G4" s="1">
        <v>4</v>
      </c>
      <c r="H4" s="1">
        <v>5</v>
      </c>
      <c r="I4" s="1">
        <v>6</v>
      </c>
      <c r="J4" s="1">
        <v>7</v>
      </c>
      <c r="K4" s="1">
        <v>8</v>
      </c>
      <c r="L4" s="1">
        <v>9</v>
      </c>
    </row>
    <row r="5" spans="1:15" x14ac:dyDescent="0.45">
      <c r="B5" s="26" t="s">
        <v>27</v>
      </c>
      <c r="C5" s="1" t="s">
        <v>39</v>
      </c>
      <c r="D5" s="1">
        <f>メイン画面!$C$15+50</f>
        <v>300</v>
      </c>
      <c r="E5" s="1">
        <f>メイン画面!$C$15+50</f>
        <v>300</v>
      </c>
      <c r="F5" s="1">
        <f>メイン画面!$C$15+50</f>
        <v>300</v>
      </c>
      <c r="G5" s="1">
        <f>メイン画面!$C$15+50</f>
        <v>300</v>
      </c>
      <c r="H5" s="1">
        <f>メイン画面!$C$15+50</f>
        <v>300</v>
      </c>
      <c r="I5" s="1">
        <f>メイン画面!$C$15+50</f>
        <v>300</v>
      </c>
      <c r="J5" s="1">
        <f>メイン画面!$C$15+50</f>
        <v>300</v>
      </c>
      <c r="K5" s="1">
        <f>メイン画面!$C$15+50</f>
        <v>300</v>
      </c>
      <c r="L5" s="1">
        <f>メイン画面!$C$15+50</f>
        <v>300</v>
      </c>
    </row>
    <row r="6" spans="1:15" x14ac:dyDescent="0.45">
      <c r="B6" s="26"/>
      <c r="C6" s="1" t="s">
        <v>41</v>
      </c>
      <c r="D6" s="1">
        <f>メイン画面!$C$5/2*(光線!D4-5)/4</f>
        <v>-65</v>
      </c>
      <c r="E6" s="1">
        <f>メイン画面!$C$5/2*(光線!E4-5)/4</f>
        <v>-48.75</v>
      </c>
      <c r="F6" s="1">
        <f>メイン画面!$C$5/2*(光線!F4-5)/4</f>
        <v>-32.5</v>
      </c>
      <c r="G6" s="1">
        <f>メイン画面!$C$5/2*(光線!G4-5)/4</f>
        <v>-16.25</v>
      </c>
      <c r="H6" s="1">
        <f>メイン画面!$C$5/2*(光線!H4-5)/4</f>
        <v>0</v>
      </c>
      <c r="I6" s="1">
        <f>メイン画面!$C$5/2*(光線!I4-5)/4</f>
        <v>16.25</v>
      </c>
      <c r="J6" s="1">
        <f>メイン画面!$C$5/2*(光線!J4-5)/4</f>
        <v>32.5</v>
      </c>
      <c r="K6" s="1">
        <f>メイン画面!$C$5/2*(光線!K4-5)/4</f>
        <v>48.75</v>
      </c>
      <c r="L6" s="1">
        <f>メイン画面!$C$5/2*(光線!L4-5)/4</f>
        <v>65</v>
      </c>
    </row>
    <row r="7" spans="1:15" x14ac:dyDescent="0.45">
      <c r="B7" s="10" t="s">
        <v>28</v>
      </c>
      <c r="C7" s="1" t="s">
        <v>26</v>
      </c>
      <c r="D7" s="1">
        <f>メイン画面!$C$21</f>
        <v>1</v>
      </c>
      <c r="E7" s="1">
        <f>メイン画面!$C$21</f>
        <v>1</v>
      </c>
      <c r="F7" s="1">
        <f>メイン画面!$C$21</f>
        <v>1</v>
      </c>
      <c r="G7" s="1">
        <f>メイン画面!$C$21</f>
        <v>1</v>
      </c>
      <c r="H7" s="1">
        <f>メイン画面!$C$21</f>
        <v>1</v>
      </c>
      <c r="I7" s="1">
        <f>メイン画面!$C$21</f>
        <v>1</v>
      </c>
      <c r="J7" s="1">
        <f>メイン画面!$C$21</f>
        <v>1</v>
      </c>
      <c r="K7" s="1">
        <f>メイン画面!$C$21</f>
        <v>1</v>
      </c>
      <c r="L7" s="1">
        <f>メイン画面!$C$21</f>
        <v>1</v>
      </c>
    </row>
    <row r="8" spans="1:15" x14ac:dyDescent="0.45">
      <c r="B8" s="10" t="s">
        <v>25</v>
      </c>
      <c r="C8" s="9" t="s">
        <v>42</v>
      </c>
      <c r="D8" s="1">
        <f>TAN(RADIANS(D7))</f>
        <v>1.7455064928217585E-2</v>
      </c>
      <c r="E8" s="1">
        <f t="shared" ref="E8:L8" si="0">TAN(RADIANS(E7))</f>
        <v>1.7455064928217585E-2</v>
      </c>
      <c r="F8" s="1">
        <f t="shared" si="0"/>
        <v>1.7455064928217585E-2</v>
      </c>
      <c r="G8" s="1">
        <f t="shared" si="0"/>
        <v>1.7455064928217585E-2</v>
      </c>
      <c r="H8" s="1">
        <f t="shared" si="0"/>
        <v>1.7455064928217585E-2</v>
      </c>
      <c r="I8" s="1">
        <f t="shared" si="0"/>
        <v>1.7455064928217585E-2</v>
      </c>
      <c r="J8" s="1">
        <f t="shared" si="0"/>
        <v>1.7455064928217585E-2</v>
      </c>
      <c r="K8" s="1">
        <f t="shared" si="0"/>
        <v>1.7455064928217585E-2</v>
      </c>
      <c r="L8" s="1">
        <f t="shared" si="0"/>
        <v>1.7455064928217585E-2</v>
      </c>
    </row>
    <row r="10" spans="1:15" x14ac:dyDescent="0.45">
      <c r="B10" s="27" t="s">
        <v>29</v>
      </c>
      <c r="C10" s="1" t="s">
        <v>44</v>
      </c>
      <c r="D10" s="1">
        <f>D11^2/(4*$D$2)</f>
        <v>4.7322808651207957</v>
      </c>
      <c r="E10" s="1">
        <f t="shared" ref="E10:L10" si="1">E11^2/(4*$D$2)</f>
        <v>2.7973793411287464</v>
      </c>
      <c r="F10" s="1">
        <f t="shared" si="1"/>
        <v>1.3675422020310604</v>
      </c>
      <c r="G10" s="1">
        <f t="shared" si="1"/>
        <v>0.44359407748358715</v>
      </c>
      <c r="H10" s="1">
        <f t="shared" si="1"/>
        <v>2.6361843572480198E-2</v>
      </c>
      <c r="I10" s="1">
        <f t="shared" si="1"/>
        <v>0.11667463138996925</v>
      </c>
      <c r="J10" s="1">
        <f t="shared" si="1"/>
        <v>0.71536383565508621</v>
      </c>
      <c r="K10" s="1">
        <f t="shared" si="1"/>
        <v>1.8232631233740351</v>
      </c>
      <c r="L10" s="1">
        <f t="shared" si="1"/>
        <v>3.4412084425454159</v>
      </c>
    </row>
    <row r="11" spans="1:15" x14ac:dyDescent="0.45">
      <c r="B11" s="28"/>
      <c r="C11" s="1" t="s">
        <v>46</v>
      </c>
      <c r="D11" s="1">
        <f>IF(D8=0,D6,2*$D$2/D$8*(1-SQRT(1-D$8/$D$2*(D$6-D$8*D$5))))</f>
        <v>-70.153917208703518</v>
      </c>
      <c r="E11" s="1">
        <f t="shared" ref="E11:L11" si="2">IF(E8=0,E6,2*$D$2/E$8*(1-SQRT(1-E$8/$D$2*(E$6-E$8*E$5))))</f>
        <v>-53.937691040439397</v>
      </c>
      <c r="F11" s="1">
        <f t="shared" si="2"/>
        <v>-37.712648940538543</v>
      </c>
      <c r="G11" s="1">
        <f t="shared" si="2"/>
        <v>-21.478776515037598</v>
      </c>
      <c r="H11" s="1">
        <f t="shared" si="2"/>
        <v>-5.2360593307734211</v>
      </c>
      <c r="I11" s="1">
        <f t="shared" si="2"/>
        <v>11.015517084802148</v>
      </c>
      <c r="J11" s="1">
        <f t="shared" si="2"/>
        <v>27.275967243734723</v>
      </c>
      <c r="K11" s="1">
        <f t="shared" si="2"/>
        <v>43.545305697732751</v>
      </c>
      <c r="L11" s="1">
        <f t="shared" si="2"/>
        <v>59.823547038329586</v>
      </c>
      <c r="O11" t="s">
        <v>54</v>
      </c>
    </row>
    <row r="13" spans="1:15" x14ac:dyDescent="0.45">
      <c r="B13" s="1" t="s">
        <v>53</v>
      </c>
      <c r="C13" s="1" t="s">
        <v>51</v>
      </c>
      <c r="D13" s="1">
        <f>IF(D11=0,NA(),2*$D$2/D11)</f>
        <v>-7.4122731942826867</v>
      </c>
      <c r="E13" s="1">
        <f t="shared" ref="E13:L13" si="3">IF(E11=0,NA(),2*$D$2/E11)</f>
        <v>-9.6407538025707051</v>
      </c>
      <c r="F13" s="1">
        <f t="shared" si="3"/>
        <v>-13.788477198191062</v>
      </c>
      <c r="G13" s="1">
        <f t="shared" si="3"/>
        <v>-24.209945088629262</v>
      </c>
      <c r="H13" s="1">
        <f t="shared" si="3"/>
        <v>-99.311326925546993</v>
      </c>
      <c r="I13" s="1">
        <f t="shared" si="3"/>
        <v>47.206136216467939</v>
      </c>
      <c r="J13" s="1">
        <f t="shared" si="3"/>
        <v>19.064401835995156</v>
      </c>
      <c r="K13" s="1">
        <f t="shared" si="3"/>
        <v>11.941585704083701</v>
      </c>
      <c r="L13" s="1">
        <f t="shared" si="3"/>
        <v>8.6922294939621416</v>
      </c>
    </row>
    <row r="14" spans="1:15" x14ac:dyDescent="0.45">
      <c r="B14" s="1" t="s">
        <v>52</v>
      </c>
      <c r="C14" s="9" t="s">
        <v>55</v>
      </c>
      <c r="D14" s="1">
        <f>IF(ISERROR(D13),0,-1/D13)</f>
        <v>0.13491137924750676</v>
      </c>
      <c r="E14" s="1">
        <f t="shared" ref="E14:L14" si="4">IF(ISERROR(E13),0,-1/E13)</f>
        <v>0.10372632892392192</v>
      </c>
      <c r="F14" s="1">
        <f t="shared" si="4"/>
        <v>7.252432488565104E-2</v>
      </c>
      <c r="G14" s="1">
        <f t="shared" si="4"/>
        <v>4.1305339451995382E-2</v>
      </c>
      <c r="H14" s="1">
        <f t="shared" si="4"/>
        <v>1.0069344866871964E-2</v>
      </c>
      <c r="I14" s="1">
        <f>IF(ISERROR(I13),0,-1/I13)</f>
        <v>-2.1183686701542592E-2</v>
      </c>
      <c r="J14" s="1">
        <f t="shared" si="4"/>
        <v>-5.2453783161028313E-2</v>
      </c>
      <c r="K14" s="1">
        <f t="shared" si="4"/>
        <v>-8.3740972495639915E-2</v>
      </c>
      <c r="L14" s="1">
        <f t="shared" si="4"/>
        <v>-0.11504528276601844</v>
      </c>
    </row>
    <row r="15" spans="1:15" x14ac:dyDescent="0.45">
      <c r="B15" s="3"/>
      <c r="C15" s="8"/>
      <c r="D15" s="3"/>
      <c r="E15" s="3"/>
      <c r="F15" s="3"/>
      <c r="G15" s="3"/>
      <c r="H15" s="3"/>
      <c r="I15" s="3"/>
      <c r="J15" s="3"/>
      <c r="K15" s="3"/>
      <c r="L15" s="3"/>
    </row>
    <row r="16" spans="1:15" x14ac:dyDescent="0.45">
      <c r="B16" s="1" t="s">
        <v>56</v>
      </c>
      <c r="C16" s="9" t="s">
        <v>57</v>
      </c>
      <c r="D16" s="1">
        <f>(2*D14-D8+D14^2*D8)/(1+D14^2)</f>
        <v>0.24816846053843714</v>
      </c>
      <c r="E16" s="1">
        <f t="shared" ref="E16:L16" si="5">(2*E14-E8+E14^2*E8)/(1+E14^2)</f>
        <v>0.18816094255241406</v>
      </c>
      <c r="F16" s="1">
        <f t="shared" si="5"/>
        <v>0.12701731178031683</v>
      </c>
      <c r="G16" s="1">
        <f t="shared" si="5"/>
        <v>6.5074369201352206E-2</v>
      </c>
      <c r="H16" s="1">
        <f t="shared" si="5"/>
        <v>2.6851223552020517E-3</v>
      </c>
      <c r="I16" s="1">
        <f t="shared" si="5"/>
        <v>-5.9787775716073209E-2</v>
      </c>
      <c r="J16" s="1">
        <f t="shared" si="5"/>
        <v>-0.12197899247287652</v>
      </c>
      <c r="K16" s="1">
        <f t="shared" si="5"/>
        <v>-0.18352760877564597</v>
      </c>
      <c r="L16" s="1">
        <f t="shared" si="5"/>
        <v>-0.24408405117414936</v>
      </c>
    </row>
    <row r="17" spans="2:12" x14ac:dyDescent="0.45">
      <c r="B17" s="3"/>
      <c r="C17" s="8"/>
      <c r="D17" s="3"/>
      <c r="E17" s="3"/>
      <c r="F17" s="3"/>
      <c r="G17" s="3"/>
      <c r="H17" s="3"/>
      <c r="I17" s="3"/>
      <c r="J17" s="3"/>
      <c r="K17" s="3"/>
      <c r="L17" s="3"/>
    </row>
    <row r="18" spans="2:12" x14ac:dyDescent="0.45">
      <c r="B18" s="9" t="s">
        <v>61</v>
      </c>
      <c r="C18" s="9" t="s">
        <v>62</v>
      </c>
      <c r="D18" s="1">
        <f>メイン画面!C7</f>
        <v>160</v>
      </c>
      <c r="E18" s="3"/>
      <c r="F18" s="3"/>
      <c r="G18" s="3"/>
      <c r="H18" s="3"/>
      <c r="I18" s="3"/>
      <c r="J18" s="3"/>
      <c r="K18" s="3"/>
      <c r="L18" s="3"/>
    </row>
    <row r="19" spans="2:12" x14ac:dyDescent="0.45">
      <c r="B19" s="3"/>
      <c r="C19" s="8"/>
      <c r="D19" s="3"/>
      <c r="E19" s="3"/>
      <c r="F19" s="3"/>
      <c r="G19" s="3"/>
      <c r="H19" s="3"/>
      <c r="I19" s="3"/>
      <c r="J19" s="3"/>
      <c r="K19" s="3"/>
      <c r="L19" s="3"/>
    </row>
    <row r="20" spans="2:12" x14ac:dyDescent="0.45">
      <c r="B20" s="27" t="s">
        <v>58</v>
      </c>
      <c r="C20" s="1" t="s">
        <v>59</v>
      </c>
      <c r="D20" s="1">
        <f>(D16*D10+$D$18+D11)/(1-D16)</f>
        <v>121.06500043030236</v>
      </c>
      <c r="E20" s="1">
        <f t="shared" ref="E20:L20" si="6">(E16*E10+$D$18+E11)/(1-E16)</f>
        <v>131.29285357146742</v>
      </c>
      <c r="F20" s="1">
        <f t="shared" si="6"/>
        <v>140.27890157071784</v>
      </c>
      <c r="G20" s="1">
        <f t="shared" si="6"/>
        <v>148.19370175078154</v>
      </c>
      <c r="H20" s="1">
        <f t="shared" si="6"/>
        <v>155.18069059541548</v>
      </c>
      <c r="I20" s="1">
        <f t="shared" si="6"/>
        <v>161.36111897739383</v>
      </c>
      <c r="J20" s="1">
        <f t="shared" si="6"/>
        <v>166.83797926665301</v>
      </c>
      <c r="K20" s="1">
        <f t="shared" si="6"/>
        <v>171.6991518150993</v>
      </c>
      <c r="L20" s="1">
        <f t="shared" si="6"/>
        <v>176.0199423295112</v>
      </c>
    </row>
    <row r="21" spans="2:12" x14ac:dyDescent="0.45">
      <c r="B21" s="28"/>
      <c r="C21" s="1" t="s">
        <v>60</v>
      </c>
      <c r="D21" s="1">
        <f>D20-$D$18</f>
        <v>-38.934999569697638</v>
      </c>
      <c r="E21" s="1">
        <f t="shared" ref="E21:L21" si="7">E20-$D$18</f>
        <v>-28.707146428532582</v>
      </c>
      <c r="F21" s="1">
        <f t="shared" si="7"/>
        <v>-19.721098429282165</v>
      </c>
      <c r="G21" s="1">
        <f t="shared" si="7"/>
        <v>-11.806298249218457</v>
      </c>
      <c r="H21" s="1">
        <f t="shared" si="7"/>
        <v>-4.8193094045845157</v>
      </c>
      <c r="I21" s="1">
        <f t="shared" si="7"/>
        <v>1.3611189773938293</v>
      </c>
      <c r="J21" s="1">
        <f t="shared" si="7"/>
        <v>6.8379792666530079</v>
      </c>
      <c r="K21" s="1">
        <f t="shared" si="7"/>
        <v>11.699151815099299</v>
      </c>
      <c r="L21" s="1">
        <f t="shared" si="7"/>
        <v>16.019942329511196</v>
      </c>
    </row>
    <row r="22" spans="2:12" x14ac:dyDescent="0.45">
      <c r="B22" s="15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x14ac:dyDescent="0.45">
      <c r="B23" s="1" t="s">
        <v>63</v>
      </c>
      <c r="C23" s="1" t="s">
        <v>64</v>
      </c>
      <c r="D23" s="1">
        <v>-1</v>
      </c>
    </row>
    <row r="24" spans="2:12" x14ac:dyDescent="0.45">
      <c r="E24" s="3"/>
      <c r="F24" s="3"/>
      <c r="G24" s="3"/>
      <c r="H24" s="3"/>
      <c r="I24" s="3"/>
      <c r="J24" s="3"/>
      <c r="K24" s="3"/>
      <c r="L24" s="3"/>
    </row>
    <row r="25" spans="2:12" x14ac:dyDescent="0.45">
      <c r="B25" s="1" t="s">
        <v>56</v>
      </c>
      <c r="C25" s="9" t="s">
        <v>66</v>
      </c>
      <c r="D25" s="1">
        <f>IF(D16=0,NA(),1/D16)</f>
        <v>4.0295209062036177</v>
      </c>
      <c r="E25" s="1">
        <f t="shared" ref="E25:L25" si="8">IF(E16=0,NA(),1/E16)</f>
        <v>5.314599227846875</v>
      </c>
      <c r="F25" s="1">
        <f t="shared" si="8"/>
        <v>7.8729425617946704</v>
      </c>
      <c r="G25" s="1">
        <f t="shared" si="8"/>
        <v>15.367033323147766</v>
      </c>
      <c r="H25" s="1">
        <f t="shared" si="8"/>
        <v>372.42250732546279</v>
      </c>
      <c r="I25" s="1">
        <f t="shared" si="8"/>
        <v>-16.725827111363206</v>
      </c>
      <c r="J25" s="1">
        <f t="shared" si="8"/>
        <v>-8.198132971317678</v>
      </c>
      <c r="K25" s="1">
        <f t="shared" si="8"/>
        <v>-5.4487714773337119</v>
      </c>
      <c r="L25" s="1">
        <f t="shared" si="8"/>
        <v>-4.0969493712906253</v>
      </c>
    </row>
    <row r="26" spans="2:12" x14ac:dyDescent="0.45">
      <c r="E26" s="3"/>
      <c r="F26" s="3"/>
      <c r="G26" s="3"/>
      <c r="H26" s="3"/>
      <c r="I26" s="3"/>
      <c r="J26" s="3"/>
      <c r="K26" s="3"/>
      <c r="L26" s="3"/>
    </row>
    <row r="27" spans="2:12" x14ac:dyDescent="0.45">
      <c r="B27" s="11" t="s">
        <v>65</v>
      </c>
      <c r="C27" s="9" t="s">
        <v>69</v>
      </c>
      <c r="D27" s="1">
        <f>メイン画面!C9</f>
        <v>100</v>
      </c>
      <c r="E27" s="3"/>
      <c r="F27" s="3"/>
      <c r="G27" s="3"/>
      <c r="H27" s="3"/>
      <c r="I27" s="3"/>
      <c r="J27" s="3"/>
      <c r="K27" s="3"/>
      <c r="L27" s="3"/>
    </row>
    <row r="28" spans="2:12" x14ac:dyDescent="0.45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2:12" x14ac:dyDescent="0.45">
      <c r="B29" s="1" t="s">
        <v>67</v>
      </c>
      <c r="C29" s="1" t="s">
        <v>68</v>
      </c>
      <c r="D29" s="1">
        <f>IF(ISERROR(D25),D20,1/D25*($D$27-D21)+D20)</f>
        <v>155.54428538842265</v>
      </c>
      <c r="E29" s="1">
        <f t="shared" ref="E29:L29" si="9">IF(ISERROR(E25),E20,1/E25*($D$27-E21)+E20)</f>
        <v>155.51051155669168</v>
      </c>
      <c r="F29" s="1">
        <f t="shared" si="9"/>
        <v>155.48555365659197</v>
      </c>
      <c r="G29" s="1">
        <f t="shared" si="9"/>
        <v>155.46942608208769</v>
      </c>
      <c r="H29" s="1">
        <f t="shared" si="9"/>
        <v>155.46214326635459</v>
      </c>
      <c r="I29" s="1">
        <f t="shared" si="9"/>
        <v>155.46371968192983</v>
      </c>
      <c r="J29" s="1">
        <f t="shared" si="9"/>
        <v>155.47416984086212</v>
      </c>
      <c r="K29" s="1">
        <f t="shared" si="9"/>
        <v>155.49350829486315</v>
      </c>
      <c r="L29" s="1">
        <f t="shared" si="9"/>
        <v>155.5217496354596</v>
      </c>
    </row>
    <row r="30" spans="2:12" x14ac:dyDescent="0.4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2:12" x14ac:dyDescent="0.45">
      <c r="B31" s="9" t="s">
        <v>85</v>
      </c>
      <c r="C31" s="1" t="s">
        <v>82</v>
      </c>
      <c r="D31" s="1" t="b">
        <f>IF(ABS(D11)&lt;メイン画面!$C$5/2,TRUE,FALSE)</f>
        <v>0</v>
      </c>
      <c r="E31" s="1" t="b">
        <f>IF(ABS(E11)&lt;メイン画面!$C$5/2,TRUE,FALSE)</f>
        <v>1</v>
      </c>
      <c r="F31" s="1" t="b">
        <f>IF(ABS(F11)&lt;メイン画面!$C$5/2,TRUE,FALSE)</f>
        <v>1</v>
      </c>
      <c r="G31" s="1" t="b">
        <f>IF(ABS(G11)&lt;メイン画面!$C$5/2,TRUE,FALSE)</f>
        <v>1</v>
      </c>
      <c r="H31" s="1" t="b">
        <f>IF(ABS(H11)&lt;メイン画面!$C$5/2,TRUE,FALSE)</f>
        <v>1</v>
      </c>
      <c r="I31" s="1" t="b">
        <f>IF(ABS(I11)&lt;メイン画面!$C$5/2,TRUE,FALSE)</f>
        <v>1</v>
      </c>
      <c r="J31" s="1" t="b">
        <f>IF(ABS(J11)&lt;メイン画面!$C$5/2,TRUE,FALSE)</f>
        <v>1</v>
      </c>
      <c r="K31" s="1" t="b">
        <f>IF(ABS(K11)&lt;メイン画面!$C$5/2,TRUE,FALSE)</f>
        <v>1</v>
      </c>
      <c r="L31" s="1" t="b">
        <f>IF(ABS(L11)&lt;メイン画面!$C$5/2,TRUE,FALSE)</f>
        <v>1</v>
      </c>
    </row>
    <row r="32" spans="2:12" x14ac:dyDescent="0.45">
      <c r="B32" s="9" t="s">
        <v>84</v>
      </c>
      <c r="C32" s="1" t="s">
        <v>82</v>
      </c>
      <c r="D32" s="1" t="b">
        <f>IF(ABS(D21)&lt;メイン画面!$C$8/2,TRUE,FALSE)</f>
        <v>0</v>
      </c>
      <c r="E32" s="1" t="b">
        <f>IF(ABS(E21)&lt;メイン画面!$C$8/2,TRUE,FALSE)</f>
        <v>1</v>
      </c>
      <c r="F32" s="1" t="b">
        <f>IF(ABS(F21)&lt;メイン画面!$C$8/2,TRUE,FALSE)</f>
        <v>1</v>
      </c>
      <c r="G32" s="1" t="b">
        <f>IF(ABS(G21)&lt;メイン画面!$C$8/2,TRUE,FALSE)</f>
        <v>1</v>
      </c>
      <c r="H32" s="1" t="b">
        <f>IF(ABS(H21)&lt;メイン画面!$C$8/2,TRUE,FALSE)</f>
        <v>1</v>
      </c>
      <c r="I32" s="1" t="b">
        <f>IF(ABS(I21)&lt;メイン画面!$C$8/2,TRUE,FALSE)</f>
        <v>1</v>
      </c>
      <c r="J32" s="1" t="b">
        <f>IF(ABS(J21)&lt;メイン画面!$C$8/2,TRUE,FALSE)</f>
        <v>1</v>
      </c>
      <c r="K32" s="1" t="b">
        <f>IF(ABS(K21)&lt;メイン画面!$C$8/2,TRUE,FALSE)</f>
        <v>1</v>
      </c>
      <c r="L32" s="1" t="b">
        <f>IF(ABS(L21)&lt;メイン画面!$C$8/2,TRUE,FALSE)</f>
        <v>1</v>
      </c>
    </row>
    <row r="33" spans="2:12" x14ac:dyDescent="0.45">
      <c r="B33" s="9" t="s">
        <v>83</v>
      </c>
      <c r="C33" s="1" t="s">
        <v>82</v>
      </c>
      <c r="D33" s="1" t="b">
        <f>IF(ABS(D29-$D$18)&lt;(メイン画面!$C$10/2),TRUE,FALSE)</f>
        <v>1</v>
      </c>
      <c r="E33" s="1" t="b">
        <f>IF(ABS(E29-$D$18)&lt;(メイン画面!$C$10/2),TRUE,FALSE)</f>
        <v>1</v>
      </c>
      <c r="F33" s="1" t="b">
        <f>IF(ABS(F29-$D$18)&lt;(メイン画面!$C$10/2),TRUE,FALSE)</f>
        <v>1</v>
      </c>
      <c r="G33" s="1" t="b">
        <f>IF(ABS(G29-$D$18)&lt;(メイン画面!$C$10/2),TRUE,FALSE)</f>
        <v>1</v>
      </c>
      <c r="H33" s="1" t="b">
        <f>IF(ABS(H29-$D$18)&lt;(メイン画面!$C$10/2),TRUE,FALSE)</f>
        <v>1</v>
      </c>
      <c r="I33" s="1" t="b">
        <f>IF(ABS(I29-$D$18)&lt;(メイン画面!$C$10/2),TRUE,FALSE)</f>
        <v>1</v>
      </c>
      <c r="J33" s="1" t="b">
        <f>IF(ABS(J29-$D$18)&lt;(メイン画面!$C$10/2),TRUE,FALSE)</f>
        <v>1</v>
      </c>
      <c r="K33" s="1" t="b">
        <f>IF(ABS(K29-$D$18)&lt;(メイン画面!$C$10/2),TRUE,FALSE)</f>
        <v>1</v>
      </c>
      <c r="L33" s="1" t="b">
        <f>IF(ABS(L29-$D$18)&lt;(メイン画面!$C$10/2),TRUE,FALSE)</f>
        <v>1</v>
      </c>
    </row>
    <row r="34" spans="2:12" x14ac:dyDescent="0.45">
      <c r="B34" s="9" t="s">
        <v>86</v>
      </c>
      <c r="C34" s="9" t="s">
        <v>82</v>
      </c>
      <c r="D34" s="1" t="b">
        <f>AND(D31:D33)</f>
        <v>0</v>
      </c>
      <c r="E34" s="1" t="b">
        <f t="shared" ref="E34:L34" si="10">AND(E31:E33)</f>
        <v>1</v>
      </c>
      <c r="F34" s="1" t="b">
        <f t="shared" si="10"/>
        <v>1</v>
      </c>
      <c r="G34" s="1" t="b">
        <f t="shared" si="10"/>
        <v>1</v>
      </c>
      <c r="H34" s="1" t="b">
        <f t="shared" si="10"/>
        <v>1</v>
      </c>
      <c r="I34" s="1" t="b">
        <f t="shared" si="10"/>
        <v>1</v>
      </c>
      <c r="J34" s="1" t="b">
        <f t="shared" si="10"/>
        <v>1</v>
      </c>
      <c r="K34" s="1" t="b">
        <f t="shared" si="10"/>
        <v>1</v>
      </c>
      <c r="L34" s="1" t="b">
        <f t="shared" si="10"/>
        <v>1</v>
      </c>
    </row>
    <row r="35" spans="2:12" x14ac:dyDescent="0.4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x14ac:dyDescent="0.4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x14ac:dyDescent="0.4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x14ac:dyDescent="0.4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x14ac:dyDescent="0.4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2" x14ac:dyDescent="0.4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x14ac:dyDescent="0.4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2:12" x14ac:dyDescent="0.4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4" spans="2:12" x14ac:dyDescent="0.45">
      <c r="B44" s="29" t="s">
        <v>35</v>
      </c>
      <c r="C44" s="1" t="s">
        <v>38</v>
      </c>
      <c r="D44" s="1" t="e">
        <f>IF(D34,D5,NA())</f>
        <v>#N/A</v>
      </c>
      <c r="E44" s="1">
        <f t="shared" ref="E44:L44" si="11">IF(E34,E5,NA())</f>
        <v>300</v>
      </c>
      <c r="F44" s="1">
        <f t="shared" si="11"/>
        <v>300</v>
      </c>
      <c r="G44" s="1">
        <f t="shared" si="11"/>
        <v>300</v>
      </c>
      <c r="H44" s="1">
        <f t="shared" si="11"/>
        <v>300</v>
      </c>
      <c r="I44" s="1">
        <f t="shared" si="11"/>
        <v>300</v>
      </c>
      <c r="J44" s="1">
        <f t="shared" si="11"/>
        <v>300</v>
      </c>
      <c r="K44" s="1">
        <f t="shared" si="11"/>
        <v>300</v>
      </c>
      <c r="L44" s="1">
        <f t="shared" si="11"/>
        <v>300</v>
      </c>
    </row>
    <row r="45" spans="2:12" x14ac:dyDescent="0.45">
      <c r="B45" s="29"/>
      <c r="C45" s="1" t="s">
        <v>43</v>
      </c>
      <c r="D45" s="1" t="e">
        <f>IF(D34,D10,NA())</f>
        <v>#N/A</v>
      </c>
      <c r="E45" s="1">
        <f t="shared" ref="E45:L45" si="12">IF(E34,E10,NA())</f>
        <v>2.7973793411287464</v>
      </c>
      <c r="F45" s="1">
        <f t="shared" si="12"/>
        <v>1.3675422020310604</v>
      </c>
      <c r="G45" s="1">
        <f t="shared" si="12"/>
        <v>0.44359407748358715</v>
      </c>
      <c r="H45" s="1">
        <f t="shared" si="12"/>
        <v>2.6361843572480198E-2</v>
      </c>
      <c r="I45" s="1">
        <f t="shared" si="12"/>
        <v>0.11667463138996925</v>
      </c>
      <c r="J45" s="1">
        <f t="shared" si="12"/>
        <v>0.71536383565508621</v>
      </c>
      <c r="K45" s="1">
        <f t="shared" si="12"/>
        <v>1.8232631233740351</v>
      </c>
      <c r="L45" s="1">
        <f t="shared" si="12"/>
        <v>3.4412084425454159</v>
      </c>
    </row>
    <row r="46" spans="2:12" x14ac:dyDescent="0.45">
      <c r="B46" s="29"/>
      <c r="C46" s="1" t="s">
        <v>47</v>
      </c>
      <c r="D46" s="1" t="e">
        <f>IF(D34,D20,NA())</f>
        <v>#N/A</v>
      </c>
      <c r="E46" s="1">
        <f t="shared" ref="E46:L46" si="13">IF(E34,E20,NA())</f>
        <v>131.29285357146742</v>
      </c>
      <c r="F46" s="1">
        <f t="shared" si="13"/>
        <v>140.27890157071784</v>
      </c>
      <c r="G46" s="1">
        <f t="shared" si="13"/>
        <v>148.19370175078154</v>
      </c>
      <c r="H46" s="1">
        <f t="shared" si="13"/>
        <v>155.18069059541548</v>
      </c>
      <c r="I46" s="1">
        <f t="shared" si="13"/>
        <v>161.36111897739383</v>
      </c>
      <c r="J46" s="1">
        <f t="shared" si="13"/>
        <v>166.83797926665301</v>
      </c>
      <c r="K46" s="1">
        <f t="shared" si="13"/>
        <v>171.6991518150993</v>
      </c>
      <c r="L46" s="1">
        <f t="shared" si="13"/>
        <v>176.0199423295112</v>
      </c>
    </row>
    <row r="47" spans="2:12" x14ac:dyDescent="0.45">
      <c r="B47" s="29"/>
      <c r="C47" s="1" t="s">
        <v>48</v>
      </c>
      <c r="D47" s="1" t="e">
        <f>IF(D34,D29,NA())</f>
        <v>#N/A</v>
      </c>
      <c r="E47" s="1">
        <f t="shared" ref="E47:L47" si="14">IF(E34,E29,NA())</f>
        <v>155.51051155669168</v>
      </c>
      <c r="F47" s="1">
        <f t="shared" si="14"/>
        <v>155.48555365659197</v>
      </c>
      <c r="G47" s="1">
        <f t="shared" si="14"/>
        <v>155.46942608208769</v>
      </c>
      <c r="H47" s="1">
        <f t="shared" si="14"/>
        <v>155.46214326635459</v>
      </c>
      <c r="I47" s="1">
        <f t="shared" si="14"/>
        <v>155.46371968192983</v>
      </c>
      <c r="J47" s="1">
        <f t="shared" si="14"/>
        <v>155.47416984086212</v>
      </c>
      <c r="K47" s="1">
        <f t="shared" si="14"/>
        <v>155.49350829486315</v>
      </c>
      <c r="L47" s="1">
        <f t="shared" si="14"/>
        <v>155.5217496354596</v>
      </c>
    </row>
    <row r="48" spans="2:12" x14ac:dyDescent="0.45">
      <c r="B48" s="29" t="s">
        <v>36</v>
      </c>
      <c r="C48" s="1" t="s">
        <v>40</v>
      </c>
      <c r="D48" s="1">
        <f t="shared" ref="D48:L48" si="15">D6</f>
        <v>-65</v>
      </c>
      <c r="E48" s="1">
        <f t="shared" si="15"/>
        <v>-48.75</v>
      </c>
      <c r="F48" s="1">
        <f t="shared" si="15"/>
        <v>-32.5</v>
      </c>
      <c r="G48" s="1">
        <f t="shared" si="15"/>
        <v>-16.25</v>
      </c>
      <c r="H48" s="1">
        <f t="shared" si="15"/>
        <v>0</v>
      </c>
      <c r="I48" s="1">
        <f t="shared" si="15"/>
        <v>16.25</v>
      </c>
      <c r="J48" s="1">
        <f t="shared" si="15"/>
        <v>32.5</v>
      </c>
      <c r="K48" s="1">
        <f t="shared" si="15"/>
        <v>48.75</v>
      </c>
      <c r="L48" s="1">
        <f t="shared" si="15"/>
        <v>65</v>
      </c>
    </row>
    <row r="49" spans="2:12" x14ac:dyDescent="0.45">
      <c r="B49" s="29"/>
      <c r="C49" s="1" t="s">
        <v>45</v>
      </c>
      <c r="D49" s="1">
        <f>D11</f>
        <v>-70.153917208703518</v>
      </c>
      <c r="E49" s="1">
        <f t="shared" ref="E49:L49" si="16">E11</f>
        <v>-53.937691040439397</v>
      </c>
      <c r="F49" s="1">
        <f t="shared" si="16"/>
        <v>-37.712648940538543</v>
      </c>
      <c r="G49" s="1">
        <f t="shared" si="16"/>
        <v>-21.478776515037598</v>
      </c>
      <c r="H49" s="1">
        <f t="shared" si="16"/>
        <v>-5.2360593307734211</v>
      </c>
      <c r="I49" s="1">
        <f t="shared" si="16"/>
        <v>11.015517084802148</v>
      </c>
      <c r="J49" s="1">
        <f t="shared" si="16"/>
        <v>27.275967243734723</v>
      </c>
      <c r="K49" s="1">
        <f t="shared" si="16"/>
        <v>43.545305697732751</v>
      </c>
      <c r="L49" s="1">
        <f t="shared" si="16"/>
        <v>59.823547038329586</v>
      </c>
    </row>
    <row r="50" spans="2:12" x14ac:dyDescent="0.45">
      <c r="B50" s="29"/>
      <c r="C50" s="1" t="s">
        <v>49</v>
      </c>
      <c r="D50" s="1">
        <f>D21</f>
        <v>-38.934999569697638</v>
      </c>
      <c r="E50" s="1">
        <f t="shared" ref="E50:L50" si="17">E21</f>
        <v>-28.707146428532582</v>
      </c>
      <c r="F50" s="1">
        <f t="shared" si="17"/>
        <v>-19.721098429282165</v>
      </c>
      <c r="G50" s="1">
        <f t="shared" si="17"/>
        <v>-11.806298249218457</v>
      </c>
      <c r="H50" s="1">
        <f t="shared" si="17"/>
        <v>-4.8193094045845157</v>
      </c>
      <c r="I50" s="1">
        <f t="shared" si="17"/>
        <v>1.3611189773938293</v>
      </c>
      <c r="J50" s="1">
        <f t="shared" si="17"/>
        <v>6.8379792666530079</v>
      </c>
      <c r="K50" s="1">
        <f t="shared" si="17"/>
        <v>11.699151815099299</v>
      </c>
      <c r="L50" s="1">
        <f t="shared" si="17"/>
        <v>16.019942329511196</v>
      </c>
    </row>
    <row r="51" spans="2:12" x14ac:dyDescent="0.45">
      <c r="B51" s="29"/>
      <c r="C51" s="1" t="s">
        <v>50</v>
      </c>
      <c r="D51" s="1">
        <f>$D$27</f>
        <v>100</v>
      </c>
      <c r="E51" s="1">
        <f t="shared" ref="E51:L51" si="18">$D$27</f>
        <v>100</v>
      </c>
      <c r="F51" s="1">
        <f t="shared" si="18"/>
        <v>100</v>
      </c>
      <c r="G51" s="1">
        <f t="shared" si="18"/>
        <v>100</v>
      </c>
      <c r="H51" s="1">
        <f t="shared" si="18"/>
        <v>100</v>
      </c>
      <c r="I51" s="1">
        <f t="shared" si="18"/>
        <v>100</v>
      </c>
      <c r="J51" s="1">
        <f t="shared" si="18"/>
        <v>100</v>
      </c>
      <c r="K51" s="1">
        <f t="shared" si="18"/>
        <v>100</v>
      </c>
      <c r="L51" s="1">
        <f t="shared" si="18"/>
        <v>100</v>
      </c>
    </row>
    <row r="53" spans="2:12" x14ac:dyDescent="0.45">
      <c r="B53" s="1" t="s">
        <v>76</v>
      </c>
      <c r="C53" s="1" t="s">
        <v>77</v>
      </c>
      <c r="D53" s="1">
        <f>D29-$D$18</f>
        <v>-4.4557146115773492</v>
      </c>
      <c r="E53" s="1">
        <f t="shared" ref="E53:L53" si="19">E29-$D$18</f>
        <v>-4.4894884433083178</v>
      </c>
      <c r="F53" s="1">
        <f t="shared" si="19"/>
        <v>-4.5144463434080251</v>
      </c>
      <c r="G53" s="1">
        <f t="shared" si="19"/>
        <v>-4.5305739179123066</v>
      </c>
      <c r="H53" s="1">
        <f t="shared" si="19"/>
        <v>-4.5378567336454125</v>
      </c>
      <c r="I53" s="1">
        <f t="shared" si="19"/>
        <v>-4.536280318070169</v>
      </c>
      <c r="J53" s="1">
        <f t="shared" si="19"/>
        <v>-4.5258301591378824</v>
      </c>
      <c r="K53" s="1">
        <f t="shared" si="19"/>
        <v>-4.5064917051368525</v>
      </c>
      <c r="L53" s="1">
        <f t="shared" si="19"/>
        <v>-4.4782503645404006</v>
      </c>
    </row>
    <row r="54" spans="2:12" x14ac:dyDescent="0.45">
      <c r="B54" s="1"/>
      <c r="C54" s="1" t="s">
        <v>78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</row>
    <row r="63" spans="2:12" x14ac:dyDescent="0.45">
      <c r="D63" t="s">
        <v>34</v>
      </c>
    </row>
  </sheetData>
  <mergeCells count="5">
    <mergeCell ref="B5:B6"/>
    <mergeCell ref="B10:B11"/>
    <mergeCell ref="B44:B47"/>
    <mergeCell ref="B48:B51"/>
    <mergeCell ref="B20:B21"/>
  </mergeCells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6EB2C-4264-4DFE-B4C9-F236497BB6AF}">
  <sheetPr codeName="Sheet4">
    <tabColor theme="4" tint="0.79998168889431442"/>
  </sheetPr>
  <dimension ref="A1:D49"/>
  <sheetViews>
    <sheetView workbookViewId="0">
      <selection activeCell="D12" sqref="D12"/>
    </sheetView>
  </sheetViews>
  <sheetFormatPr defaultRowHeight="18" x14ac:dyDescent="0.45"/>
  <sheetData>
    <row r="1" spans="1:4" ht="36.6" x14ac:dyDescent="0.45">
      <c r="A1" s="2" t="s">
        <v>7</v>
      </c>
    </row>
    <row r="4" spans="1:4" x14ac:dyDescent="0.45">
      <c r="B4" s="1" t="s">
        <v>8</v>
      </c>
      <c r="C4" s="1">
        <f>メイン画面!C6</f>
        <v>260</v>
      </c>
    </row>
    <row r="8" spans="1:4" x14ac:dyDescent="0.45">
      <c r="C8" s="1" t="s">
        <v>1</v>
      </c>
      <c r="D8" s="1" t="s">
        <v>0</v>
      </c>
    </row>
    <row r="9" spans="1:4" x14ac:dyDescent="0.45">
      <c r="B9" s="4">
        <v>-1</v>
      </c>
      <c r="C9" s="1">
        <f>メイン画面!$C$5/2*B9</f>
        <v>-65</v>
      </c>
      <c r="D9" s="1">
        <f>C9^2/(4*$C$4)</f>
        <v>4.0625</v>
      </c>
    </row>
    <row r="10" spans="1:4" x14ac:dyDescent="0.45">
      <c r="B10" s="4">
        <v>-0.95</v>
      </c>
      <c r="C10" s="1">
        <f>メイン画面!$C$5/2*B10</f>
        <v>-61.75</v>
      </c>
      <c r="D10" s="1">
        <f t="shared" ref="D10:D49" si="0">C10^2/(4*$C$4)</f>
        <v>3.6664062500000001</v>
      </c>
    </row>
    <row r="11" spans="1:4" x14ac:dyDescent="0.45">
      <c r="B11" s="4">
        <v>-0.9</v>
      </c>
      <c r="C11" s="1">
        <f>メイン画面!$C$5/2*B11</f>
        <v>-58.5</v>
      </c>
      <c r="D11" s="1">
        <f t="shared" si="0"/>
        <v>3.2906249999999999</v>
      </c>
    </row>
    <row r="12" spans="1:4" x14ac:dyDescent="0.45">
      <c r="B12" s="4">
        <v>-0.85</v>
      </c>
      <c r="C12" s="1">
        <f>メイン画面!$C$5/2*B12</f>
        <v>-55.25</v>
      </c>
      <c r="D12" s="1">
        <f t="shared" si="0"/>
        <v>2.9351562499999999</v>
      </c>
    </row>
    <row r="13" spans="1:4" x14ac:dyDescent="0.45">
      <c r="B13" s="4">
        <v>-0.8</v>
      </c>
      <c r="C13" s="1">
        <f>メイン画面!$C$5/2*B13</f>
        <v>-52</v>
      </c>
      <c r="D13" s="1">
        <f t="shared" si="0"/>
        <v>2.6</v>
      </c>
    </row>
    <row r="14" spans="1:4" x14ac:dyDescent="0.45">
      <c r="B14" s="4">
        <v>-0.75</v>
      </c>
      <c r="C14" s="1">
        <f>メイン画面!$C$5/2*B14</f>
        <v>-48.75</v>
      </c>
      <c r="D14" s="1">
        <f t="shared" si="0"/>
        <v>2.28515625</v>
      </c>
    </row>
    <row r="15" spans="1:4" x14ac:dyDescent="0.45">
      <c r="B15" s="4">
        <v>-0.7</v>
      </c>
      <c r="C15" s="1">
        <f>メイン画面!$C$5/2*B15</f>
        <v>-45.5</v>
      </c>
      <c r="D15" s="1">
        <f t="shared" si="0"/>
        <v>1.9906250000000001</v>
      </c>
    </row>
    <row r="16" spans="1:4" x14ac:dyDescent="0.45">
      <c r="B16" s="4">
        <v>-0.65</v>
      </c>
      <c r="C16" s="1">
        <f>メイン画面!$C$5/2*B16</f>
        <v>-42.25</v>
      </c>
      <c r="D16" s="1">
        <f t="shared" si="0"/>
        <v>1.7164062499999999</v>
      </c>
    </row>
    <row r="17" spans="2:4" x14ac:dyDescent="0.45">
      <c r="B17" s="4">
        <v>-0.6</v>
      </c>
      <c r="C17" s="1">
        <f>メイン画面!$C$5/2*B17</f>
        <v>-39</v>
      </c>
      <c r="D17" s="1">
        <f t="shared" si="0"/>
        <v>1.4624999999999999</v>
      </c>
    </row>
    <row r="18" spans="2:4" x14ac:dyDescent="0.45">
      <c r="B18" s="4">
        <v>-0.55000000000000004</v>
      </c>
      <c r="C18" s="1">
        <f>メイン画面!$C$5/2*B18</f>
        <v>-35.75</v>
      </c>
      <c r="D18" s="1">
        <f t="shared" si="0"/>
        <v>1.2289062500000001</v>
      </c>
    </row>
    <row r="19" spans="2:4" x14ac:dyDescent="0.45">
      <c r="B19" s="4">
        <v>-0.5</v>
      </c>
      <c r="C19" s="1">
        <f>メイン画面!$C$5/2*B19</f>
        <v>-32.5</v>
      </c>
      <c r="D19" s="1">
        <f t="shared" si="0"/>
        <v>1.015625</v>
      </c>
    </row>
    <row r="20" spans="2:4" x14ac:dyDescent="0.45">
      <c r="B20" s="4">
        <v>-0.45</v>
      </c>
      <c r="C20" s="1">
        <f>メイン画面!$C$5/2*B20</f>
        <v>-29.25</v>
      </c>
      <c r="D20" s="1">
        <f t="shared" si="0"/>
        <v>0.82265624999999998</v>
      </c>
    </row>
    <row r="21" spans="2:4" x14ac:dyDescent="0.45">
      <c r="B21" s="4">
        <v>-0.39999999999999902</v>
      </c>
      <c r="C21" s="1">
        <f>メイン画面!$C$5/2*B21</f>
        <v>-25.999999999999936</v>
      </c>
      <c r="D21" s="1">
        <f t="shared" si="0"/>
        <v>0.6499999999999968</v>
      </c>
    </row>
    <row r="22" spans="2:4" x14ac:dyDescent="0.45">
      <c r="B22" s="4">
        <v>-0.34999999999999898</v>
      </c>
      <c r="C22" s="1">
        <f>メイン画面!$C$5/2*B22</f>
        <v>-22.749999999999932</v>
      </c>
      <c r="D22" s="1">
        <f t="shared" si="0"/>
        <v>0.49765624999999702</v>
      </c>
    </row>
    <row r="23" spans="2:4" x14ac:dyDescent="0.45">
      <c r="B23" s="4">
        <v>-0.29999999999999899</v>
      </c>
      <c r="C23" s="1">
        <f>メイン画面!$C$5/2*B23</f>
        <v>-19.499999999999936</v>
      </c>
      <c r="D23" s="1">
        <f t="shared" si="0"/>
        <v>0.36562499999999759</v>
      </c>
    </row>
    <row r="24" spans="2:4" x14ac:dyDescent="0.45">
      <c r="B24" s="4">
        <v>-0.249999999999999</v>
      </c>
      <c r="C24" s="1">
        <f>メイン画面!$C$5/2*B24</f>
        <v>-16.249999999999936</v>
      </c>
      <c r="D24" s="1">
        <f t="shared" si="0"/>
        <v>0.253906249999998</v>
      </c>
    </row>
    <row r="25" spans="2:4" x14ac:dyDescent="0.45">
      <c r="B25" s="4">
        <v>-0.19999999999999901</v>
      </c>
      <c r="C25" s="1">
        <f>メイン画面!$C$5/2*B25</f>
        <v>-12.999999999999936</v>
      </c>
      <c r="D25" s="1">
        <f t="shared" si="0"/>
        <v>0.16249999999999842</v>
      </c>
    </row>
    <row r="26" spans="2:4" x14ac:dyDescent="0.45">
      <c r="B26" s="4">
        <v>-0.149999999999999</v>
      </c>
      <c r="C26" s="1">
        <f>メイン画面!$C$5/2*B26</f>
        <v>-9.7499999999999343</v>
      </c>
      <c r="D26" s="1">
        <f t="shared" si="0"/>
        <v>9.1406249999998773E-2</v>
      </c>
    </row>
    <row r="27" spans="2:4" x14ac:dyDescent="0.45">
      <c r="B27" s="4">
        <v>-9.9999999999999006E-2</v>
      </c>
      <c r="C27" s="1">
        <f>メイン画面!$C$5/2*B27</f>
        <v>-6.4999999999999352</v>
      </c>
      <c r="D27" s="1">
        <f t="shared" si="0"/>
        <v>4.062499999999919E-2</v>
      </c>
    </row>
    <row r="28" spans="2:4" x14ac:dyDescent="0.45">
      <c r="B28" s="4">
        <v>-4.9999999999998997E-2</v>
      </c>
      <c r="C28" s="1">
        <f>メイン画面!$C$5/2*B28</f>
        <v>-3.2499999999999347</v>
      </c>
      <c r="D28" s="1">
        <f t="shared" si="0"/>
        <v>1.0156249999999591E-2</v>
      </c>
    </row>
    <row r="29" spans="2:4" x14ac:dyDescent="0.45">
      <c r="B29" s="4">
        <v>0</v>
      </c>
      <c r="C29" s="1">
        <f>メイン画面!$C$5/2*B29</f>
        <v>0</v>
      </c>
      <c r="D29" s="1">
        <f t="shared" si="0"/>
        <v>0</v>
      </c>
    </row>
    <row r="30" spans="2:4" x14ac:dyDescent="0.45">
      <c r="B30" s="4">
        <v>0.05</v>
      </c>
      <c r="C30" s="1">
        <f>メイン画面!$C$5/2*B30</f>
        <v>3.25</v>
      </c>
      <c r="D30" s="1">
        <f t="shared" si="0"/>
        <v>1.015625E-2</v>
      </c>
    </row>
    <row r="31" spans="2:4" x14ac:dyDescent="0.45">
      <c r="B31" s="4">
        <v>0.1</v>
      </c>
      <c r="C31" s="1">
        <f>メイン画面!$C$5/2*B31</f>
        <v>6.5</v>
      </c>
      <c r="D31" s="1">
        <f t="shared" si="0"/>
        <v>4.0625000000000001E-2</v>
      </c>
    </row>
    <row r="32" spans="2:4" x14ac:dyDescent="0.45">
      <c r="B32" s="4">
        <v>0.15</v>
      </c>
      <c r="C32" s="1">
        <f>メイン画面!$C$5/2*B32</f>
        <v>9.75</v>
      </c>
      <c r="D32" s="1">
        <f t="shared" si="0"/>
        <v>9.1406249999999994E-2</v>
      </c>
    </row>
    <row r="33" spans="2:4" x14ac:dyDescent="0.45">
      <c r="B33" s="4">
        <v>0.2</v>
      </c>
      <c r="C33" s="1">
        <f>メイン画面!$C$5/2*B33</f>
        <v>13</v>
      </c>
      <c r="D33" s="1">
        <f t="shared" si="0"/>
        <v>0.16250000000000001</v>
      </c>
    </row>
    <row r="34" spans="2:4" x14ac:dyDescent="0.45">
      <c r="B34" s="4">
        <v>0.25</v>
      </c>
      <c r="C34" s="1">
        <f>メイン画面!$C$5/2*B34</f>
        <v>16.25</v>
      </c>
      <c r="D34" s="1">
        <f t="shared" si="0"/>
        <v>0.25390625</v>
      </c>
    </row>
    <row r="35" spans="2:4" x14ac:dyDescent="0.45">
      <c r="B35" s="4">
        <v>0.3</v>
      </c>
      <c r="C35" s="1">
        <f>メイン画面!$C$5/2*B35</f>
        <v>19.5</v>
      </c>
      <c r="D35" s="1">
        <f t="shared" si="0"/>
        <v>0.36562499999999998</v>
      </c>
    </row>
    <row r="36" spans="2:4" x14ac:dyDescent="0.45">
      <c r="B36" s="4">
        <v>0.35</v>
      </c>
      <c r="C36" s="1">
        <f>メイン画面!$C$5/2*B36</f>
        <v>22.75</v>
      </c>
      <c r="D36" s="1">
        <f t="shared" si="0"/>
        <v>0.49765625000000002</v>
      </c>
    </row>
    <row r="37" spans="2:4" x14ac:dyDescent="0.45">
      <c r="B37" s="4">
        <v>0.4</v>
      </c>
      <c r="C37" s="1">
        <f>メイン画面!$C$5/2*B37</f>
        <v>26</v>
      </c>
      <c r="D37" s="1">
        <f t="shared" si="0"/>
        <v>0.65</v>
      </c>
    </row>
    <row r="38" spans="2:4" x14ac:dyDescent="0.45">
      <c r="B38" s="4">
        <v>0.45</v>
      </c>
      <c r="C38" s="1">
        <f>メイン画面!$C$5/2*B38</f>
        <v>29.25</v>
      </c>
      <c r="D38" s="1">
        <f t="shared" si="0"/>
        <v>0.82265624999999998</v>
      </c>
    </row>
    <row r="39" spans="2:4" x14ac:dyDescent="0.45">
      <c r="B39" s="4">
        <v>0.5</v>
      </c>
      <c r="C39" s="1">
        <f>メイン画面!$C$5/2*B39</f>
        <v>32.5</v>
      </c>
      <c r="D39" s="1">
        <f t="shared" si="0"/>
        <v>1.015625</v>
      </c>
    </row>
    <row r="40" spans="2:4" x14ac:dyDescent="0.45">
      <c r="B40" s="4">
        <v>0.55000000000000004</v>
      </c>
      <c r="C40" s="1">
        <f>メイン画面!$C$5/2*B40</f>
        <v>35.75</v>
      </c>
      <c r="D40" s="1">
        <f t="shared" si="0"/>
        <v>1.2289062500000001</v>
      </c>
    </row>
    <row r="41" spans="2:4" x14ac:dyDescent="0.45">
      <c r="B41" s="4">
        <v>0.6</v>
      </c>
      <c r="C41" s="1">
        <f>メイン画面!$C$5/2*B41</f>
        <v>39</v>
      </c>
      <c r="D41" s="1">
        <f t="shared" si="0"/>
        <v>1.4624999999999999</v>
      </c>
    </row>
    <row r="42" spans="2:4" x14ac:dyDescent="0.45">
      <c r="B42" s="4">
        <v>0.65</v>
      </c>
      <c r="C42" s="1">
        <f>メイン画面!$C$5/2*B42</f>
        <v>42.25</v>
      </c>
      <c r="D42" s="1">
        <f t="shared" si="0"/>
        <v>1.7164062499999999</v>
      </c>
    </row>
    <row r="43" spans="2:4" x14ac:dyDescent="0.45">
      <c r="B43" s="4">
        <v>0.7</v>
      </c>
      <c r="C43" s="1">
        <f>メイン画面!$C$5/2*B43</f>
        <v>45.5</v>
      </c>
      <c r="D43" s="1">
        <f t="shared" si="0"/>
        <v>1.9906250000000001</v>
      </c>
    </row>
    <row r="44" spans="2:4" x14ac:dyDescent="0.45">
      <c r="B44" s="4">
        <v>0.75</v>
      </c>
      <c r="C44" s="1">
        <f>メイン画面!$C$5/2*B44</f>
        <v>48.75</v>
      </c>
      <c r="D44" s="1">
        <f t="shared" si="0"/>
        <v>2.28515625</v>
      </c>
    </row>
    <row r="45" spans="2:4" x14ac:dyDescent="0.45">
      <c r="B45" s="4">
        <v>0.8</v>
      </c>
      <c r="C45" s="1">
        <f>メイン画面!$C$5/2*B45</f>
        <v>52</v>
      </c>
      <c r="D45" s="1">
        <f t="shared" si="0"/>
        <v>2.6</v>
      </c>
    </row>
    <row r="46" spans="2:4" x14ac:dyDescent="0.45">
      <c r="B46" s="4">
        <v>0.85</v>
      </c>
      <c r="C46" s="1">
        <f>メイン画面!$C$5/2*B46</f>
        <v>55.25</v>
      </c>
      <c r="D46" s="1">
        <f t="shared" si="0"/>
        <v>2.9351562499999999</v>
      </c>
    </row>
    <row r="47" spans="2:4" x14ac:dyDescent="0.45">
      <c r="B47" s="4">
        <v>0.9</v>
      </c>
      <c r="C47" s="1">
        <f>メイン画面!$C$5/2*B47</f>
        <v>58.5</v>
      </c>
      <c r="D47" s="1">
        <f t="shared" si="0"/>
        <v>3.2906249999999999</v>
      </c>
    </row>
    <row r="48" spans="2:4" x14ac:dyDescent="0.45">
      <c r="B48" s="4">
        <v>0.95</v>
      </c>
      <c r="C48" s="1">
        <f>メイン画面!$C$5/2*B48</f>
        <v>61.75</v>
      </c>
      <c r="D48" s="1">
        <f t="shared" si="0"/>
        <v>3.6664062500000001</v>
      </c>
    </row>
    <row r="49" spans="2:4" x14ac:dyDescent="0.45">
      <c r="B49" s="4">
        <v>1</v>
      </c>
      <c r="C49" s="1">
        <f>メイン画面!$C$5/2*B49</f>
        <v>65</v>
      </c>
      <c r="D49" s="1">
        <f t="shared" si="0"/>
        <v>4.0625</v>
      </c>
    </row>
  </sheetData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589F6-8CB7-4949-A6C0-FC611CB3BB44}">
  <sheetPr codeName="Sheet5">
    <tabColor theme="4" tint="0.79998168889431442"/>
  </sheetPr>
  <dimension ref="A1:D4"/>
  <sheetViews>
    <sheetView workbookViewId="0">
      <selection activeCell="D12" sqref="D12"/>
    </sheetView>
  </sheetViews>
  <sheetFormatPr defaultRowHeight="18" x14ac:dyDescent="0.45"/>
  <sheetData>
    <row r="1" spans="1:4" ht="36.6" x14ac:dyDescent="0.45">
      <c r="A1" s="2" t="s">
        <v>31</v>
      </c>
    </row>
    <row r="2" spans="1:4" x14ac:dyDescent="0.45">
      <c r="C2" s="1" t="s">
        <v>19</v>
      </c>
      <c r="D2" s="1" t="s">
        <v>20</v>
      </c>
    </row>
    <row r="3" spans="1:4" x14ac:dyDescent="0.45">
      <c r="B3" s="1" t="s">
        <v>15</v>
      </c>
      <c r="C3" s="1">
        <f>メイン画面!$C$7+D3</f>
        <v>190</v>
      </c>
      <c r="D3" s="1">
        <f>メイン画面!$C$8/2</f>
        <v>30</v>
      </c>
    </row>
    <row r="4" spans="1:4" x14ac:dyDescent="0.45">
      <c r="B4" s="1" t="s">
        <v>16</v>
      </c>
      <c r="C4" s="1">
        <f>メイン画面!$C$7+D4</f>
        <v>130</v>
      </c>
      <c r="D4" s="1">
        <f>-D3</f>
        <v>-30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4215A-569D-49CB-8A44-28FE619A910D}">
  <sheetPr codeName="Sheet6">
    <tabColor theme="4" tint="0.79998168889431442"/>
  </sheetPr>
  <dimension ref="A1:D4"/>
  <sheetViews>
    <sheetView workbookViewId="0">
      <selection activeCell="D12" sqref="D12"/>
    </sheetView>
  </sheetViews>
  <sheetFormatPr defaultRowHeight="18" x14ac:dyDescent="0.45"/>
  <sheetData>
    <row r="1" spans="1:4" ht="36.6" x14ac:dyDescent="0.45">
      <c r="A1" s="2" t="s">
        <v>72</v>
      </c>
    </row>
    <row r="2" spans="1:4" x14ac:dyDescent="0.45">
      <c r="C2" s="1" t="s">
        <v>19</v>
      </c>
      <c r="D2" s="1" t="s">
        <v>20</v>
      </c>
    </row>
    <row r="3" spans="1:4" x14ac:dyDescent="0.45">
      <c r="B3" s="1" t="s">
        <v>71</v>
      </c>
      <c r="C3" s="1">
        <f>メイン画面!C7-メイン画面!C10/2</f>
        <v>145</v>
      </c>
      <c r="D3" s="1">
        <f>メイン画面!C9</f>
        <v>100</v>
      </c>
    </row>
    <row r="4" spans="1:4" x14ac:dyDescent="0.45">
      <c r="B4" s="1" t="s">
        <v>70</v>
      </c>
      <c r="C4" s="1">
        <f>メイン画面!C7+メイン画面!C10/2</f>
        <v>175</v>
      </c>
      <c r="D4" s="1">
        <f>D3</f>
        <v>100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3F7A4-A46C-4FA2-BF78-C652DBE1AEC8}">
  <sheetPr codeName="Sheet7">
    <tabColor theme="4" tint="0.79998168889431442"/>
  </sheetPr>
  <dimension ref="A1:D11"/>
  <sheetViews>
    <sheetView workbookViewId="0">
      <selection activeCell="D12" sqref="D12"/>
    </sheetView>
  </sheetViews>
  <sheetFormatPr defaultRowHeight="18" x14ac:dyDescent="0.45"/>
  <sheetData>
    <row r="1" spans="1:4" ht="36.6" x14ac:dyDescent="0.45">
      <c r="A1" s="2" t="s">
        <v>24</v>
      </c>
    </row>
    <row r="2" spans="1:4" x14ac:dyDescent="0.45">
      <c r="C2" s="1" t="s">
        <v>19</v>
      </c>
      <c r="D2" s="1" t="s">
        <v>20</v>
      </c>
    </row>
    <row r="3" spans="1:4" x14ac:dyDescent="0.45">
      <c r="B3" s="1" t="s">
        <v>15</v>
      </c>
      <c r="C3" s="1">
        <f>メイン画面!C15</f>
        <v>250</v>
      </c>
      <c r="D3" s="1">
        <f>メイン画面!$C$16/2</f>
        <v>75</v>
      </c>
    </row>
    <row r="4" spans="1:4" x14ac:dyDescent="0.45">
      <c r="B4" s="1"/>
      <c r="C4" s="1">
        <f>メイン画面!C7+メイン画面!C10/2+10</f>
        <v>185</v>
      </c>
      <c r="D4" s="1">
        <f>D3</f>
        <v>75</v>
      </c>
    </row>
    <row r="5" spans="1:4" x14ac:dyDescent="0.45">
      <c r="B5" s="1"/>
      <c r="C5" s="1">
        <f>C4</f>
        <v>185</v>
      </c>
      <c r="D5" s="1">
        <f>メイン画面!C9+10</f>
        <v>110</v>
      </c>
    </row>
    <row r="6" spans="1:4" x14ac:dyDescent="0.45">
      <c r="B6" s="1"/>
      <c r="C6" s="1"/>
      <c r="D6" s="1"/>
    </row>
    <row r="7" spans="1:4" x14ac:dyDescent="0.45">
      <c r="B7" s="1"/>
      <c r="C7" s="1">
        <f>メイン画面!C7-メイン画面!C10/2-10</f>
        <v>135</v>
      </c>
      <c r="D7" s="1">
        <f>D5</f>
        <v>110</v>
      </c>
    </row>
    <row r="8" spans="1:4" x14ac:dyDescent="0.45">
      <c r="B8" s="1"/>
      <c r="C8" s="1">
        <f>C7</f>
        <v>135</v>
      </c>
      <c r="D8" s="1">
        <f>D3</f>
        <v>75</v>
      </c>
    </row>
    <row r="9" spans="1:4" x14ac:dyDescent="0.45">
      <c r="B9" s="1" t="s">
        <v>16</v>
      </c>
      <c r="C9" s="1">
        <v>0</v>
      </c>
      <c r="D9" s="1">
        <f>D3</f>
        <v>75</v>
      </c>
    </row>
    <row r="10" spans="1:4" x14ac:dyDescent="0.45">
      <c r="B10" s="1" t="s">
        <v>17</v>
      </c>
      <c r="C10" s="1">
        <v>0</v>
      </c>
      <c r="D10" s="1">
        <f>-D3</f>
        <v>-75</v>
      </c>
    </row>
    <row r="11" spans="1:4" x14ac:dyDescent="0.45">
      <c r="B11" s="1" t="s">
        <v>18</v>
      </c>
      <c r="C11" s="1">
        <f>C3</f>
        <v>250</v>
      </c>
      <c r="D11" s="1">
        <f>-D9</f>
        <v>-75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メイン画面</vt:lpstr>
      <vt:lpstr>ファインダー</vt:lpstr>
      <vt:lpstr>光線</vt:lpstr>
      <vt:lpstr>放物面</vt:lpstr>
      <vt:lpstr>副鏡</vt:lpstr>
      <vt:lpstr>センサ</vt:lpstr>
      <vt:lpstr>筐体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颯樹</dc:creator>
  <cp:lastModifiedBy>田中 颯樹</cp:lastModifiedBy>
  <dcterms:created xsi:type="dcterms:W3CDTF">2024-05-27T12:45:38Z</dcterms:created>
  <dcterms:modified xsi:type="dcterms:W3CDTF">2024-06-02T00:06:22Z</dcterms:modified>
</cp:coreProperties>
</file>